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patynskaLM\Desktop\Фінансові плани\Фінплан ЦПМСД 5\"/>
    </mc:Choice>
  </mc:AlternateContent>
  <xr:revisionPtr revIDLastSave="0" documentId="13_ncr:1_{2F1D2B4B-2DAE-40BC-B669-C806AE6EF5DD}" xr6:coauthVersionLast="37" xr6:coauthVersionMax="37" xr10:uidLastSave="{00000000-0000-0000-0000-000000000000}"/>
  <bookViews>
    <workbookView xWindow="0" yWindow="0" windowWidth="14220" windowHeight="1197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фінпла'!$A$1:$H$156</definedName>
    <definedName name="_xlnm.Print_Area" localSheetId="1">'Розшифровка 1 до Формування'!$A$1:$H$154</definedName>
    <definedName name="_xlnm.Print_Area" localSheetId="2">'Розшифровка 2 до формування'!$A$1:$H$210</definedName>
    <definedName name="_xlnm.Print_Area" localSheetId="4">'Розшифровка за джерелами '!$A$1:$AF$38</definedName>
    <definedName name="_xlnm.Print_Area" localSheetId="3">'Розшифровка кап'!$A$1:$G$103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M13" i="26" l="1"/>
  <c r="N13" i="26"/>
  <c r="L13" i="26"/>
  <c r="G125" i="14" l="1"/>
  <c r="F98" i="24"/>
  <c r="F99" i="24"/>
  <c r="D198" i="26"/>
  <c r="M33" i="26"/>
  <c r="M27" i="26"/>
  <c r="M26" i="26"/>
  <c r="N26" i="26"/>
  <c r="M25" i="26"/>
  <c r="N25" i="26"/>
  <c r="L27" i="26"/>
  <c r="L26" i="26"/>
  <c r="L25" i="26"/>
  <c r="M20" i="26"/>
  <c r="N20" i="26"/>
  <c r="M19" i="26"/>
  <c r="N19" i="26"/>
  <c r="M18" i="26"/>
  <c r="N18" i="26"/>
  <c r="L20" i="26"/>
  <c r="L33" i="26" s="1"/>
  <c r="L19" i="26"/>
  <c r="L18" i="26"/>
  <c r="M12" i="26"/>
  <c r="M32" i="26" s="1"/>
  <c r="N12" i="26"/>
  <c r="M11" i="26"/>
  <c r="M31" i="26" s="1"/>
  <c r="N11" i="26"/>
  <c r="N31" i="26" s="1"/>
  <c r="L12" i="26"/>
  <c r="L32" i="26" s="1"/>
  <c r="L11" i="26"/>
  <c r="L31" i="26" s="1"/>
  <c r="F150" i="14"/>
  <c r="F151" i="14"/>
  <c r="F152" i="14"/>
  <c r="E150" i="14"/>
  <c r="E151" i="14"/>
  <c r="E152" i="14"/>
  <c r="D150" i="14"/>
  <c r="D151" i="14"/>
  <c r="D152" i="14"/>
  <c r="N32" i="26" l="1"/>
  <c r="D124" i="22"/>
  <c r="D123" i="22"/>
  <c r="D121" i="22"/>
  <c r="D100" i="22"/>
  <c r="G105" i="22"/>
  <c r="D64" i="14" l="1"/>
  <c r="D57" i="14"/>
  <c r="D52" i="14"/>
  <c r="D50" i="14"/>
  <c r="D25" i="14"/>
  <c r="D22" i="14"/>
  <c r="D42" i="14" s="1"/>
  <c r="D16" i="14"/>
  <c r="D9" i="14"/>
  <c r="D43" i="14" s="1"/>
  <c r="D68" i="14" l="1"/>
  <c r="D15" i="14"/>
  <c r="D31" i="14" s="1"/>
  <c r="D36" i="14" s="1"/>
  <c r="D39" i="14" s="1"/>
  <c r="AC29" i="27"/>
  <c r="AC10" i="27"/>
  <c r="AC11" i="27"/>
  <c r="AC12" i="27"/>
  <c r="AC13" i="27"/>
  <c r="AC14" i="27"/>
  <c r="AC15" i="27"/>
  <c r="AC16" i="27"/>
  <c r="AC17" i="27"/>
  <c r="AC9" i="27"/>
  <c r="Z8" i="27"/>
  <c r="Z29" i="27"/>
  <c r="B28" i="27"/>
  <c r="F52" i="14" l="1"/>
  <c r="F79" i="22"/>
  <c r="E6" i="24"/>
  <c r="F22" i="24"/>
  <c r="G22" i="24"/>
  <c r="F21" i="24"/>
  <c r="G21" i="24"/>
  <c r="AD24" i="27" l="1"/>
  <c r="AF24" i="27" s="1"/>
  <c r="AA8" i="27"/>
  <c r="AD23" i="27"/>
  <c r="AF23" i="27" s="1"/>
  <c r="AA26" i="27"/>
  <c r="AE24" i="27" l="1"/>
  <c r="AE23" i="27"/>
  <c r="F67" i="22" l="1"/>
  <c r="F129" i="22"/>
  <c r="F125" i="22"/>
  <c r="G131" i="22"/>
  <c r="H131" i="22"/>
  <c r="H130" i="22"/>
  <c r="G130" i="22"/>
  <c r="F44" i="22"/>
  <c r="F37" i="22"/>
  <c r="G95" i="22"/>
  <c r="G94" i="22"/>
  <c r="G93" i="22"/>
  <c r="G92" i="22"/>
  <c r="G91" i="22"/>
  <c r="F34" i="22"/>
  <c r="F36" i="22"/>
  <c r="F54" i="22"/>
  <c r="F52" i="22"/>
  <c r="F51" i="22"/>
  <c r="F50" i="22"/>
  <c r="F48" i="22"/>
  <c r="F87" i="26"/>
  <c r="F109" i="26"/>
  <c r="F57" i="22" l="1"/>
  <c r="F173" i="26"/>
  <c r="F168" i="26"/>
  <c r="F33" i="26" l="1"/>
  <c r="G68" i="26"/>
  <c r="H68" i="26"/>
  <c r="G67" i="26"/>
  <c r="H67" i="26"/>
  <c r="G66" i="26"/>
  <c r="H66" i="26"/>
  <c r="H65" i="26"/>
  <c r="H57" i="26"/>
  <c r="H58" i="26"/>
  <c r="H59" i="26"/>
  <c r="H60" i="26"/>
  <c r="H61" i="26"/>
  <c r="H62" i="26"/>
  <c r="H63" i="26"/>
  <c r="H64" i="26"/>
  <c r="G63" i="26"/>
  <c r="G64" i="26"/>
  <c r="F7" i="22" l="1"/>
  <c r="D97" i="24" l="1"/>
  <c r="F97" i="24" s="1"/>
  <c r="D6" i="24" l="1"/>
  <c r="F133" i="26"/>
  <c r="D123" i="26"/>
  <c r="D33" i="26"/>
  <c r="L14" i="26" s="1"/>
  <c r="D145" i="14"/>
  <c r="D149" i="14" s="1"/>
  <c r="D141" i="14"/>
  <c r="D137" i="14"/>
  <c r="D107" i="22"/>
  <c r="E57" i="22"/>
  <c r="D57" i="22"/>
  <c r="D23" i="22"/>
  <c r="C119" i="14" l="1"/>
  <c r="C64" i="14"/>
  <c r="C57" i="14"/>
  <c r="C52" i="14"/>
  <c r="C68" i="14" s="1"/>
  <c r="C25" i="14"/>
  <c r="C22" i="14"/>
  <c r="C42" i="14" s="1"/>
  <c r="C16" i="14"/>
  <c r="C9" i="14"/>
  <c r="C152" i="14"/>
  <c r="C151" i="14"/>
  <c r="C150" i="14"/>
  <c r="C149" i="14"/>
  <c r="C141" i="14"/>
  <c r="C137" i="14"/>
  <c r="C50" i="14" l="1"/>
  <c r="C43" i="14"/>
  <c r="C15" i="14"/>
  <c r="C31" i="14" s="1"/>
  <c r="C36" i="14" s="1"/>
  <c r="C39" i="14" s="1"/>
  <c r="E87" i="26"/>
  <c r="E125" i="22"/>
  <c r="E107" i="22"/>
  <c r="G150" i="22"/>
  <c r="H150" i="22"/>
  <c r="E16" i="14"/>
  <c r="E137" i="14"/>
  <c r="F137" i="14"/>
  <c r="H137" i="14" s="1"/>
  <c r="G138" i="14"/>
  <c r="H138" i="14"/>
  <c r="G139" i="14"/>
  <c r="H139" i="14"/>
  <c r="G140" i="14"/>
  <c r="H140" i="14"/>
  <c r="E141" i="14"/>
  <c r="F141" i="14"/>
  <c r="G142" i="14"/>
  <c r="H142" i="14"/>
  <c r="G143" i="14"/>
  <c r="H143" i="14"/>
  <c r="G144" i="14"/>
  <c r="H144" i="14"/>
  <c r="E145" i="14"/>
  <c r="F145" i="14"/>
  <c r="G146" i="14"/>
  <c r="H146" i="14"/>
  <c r="G147" i="14"/>
  <c r="H147" i="14"/>
  <c r="G148" i="14"/>
  <c r="H148" i="14"/>
  <c r="G150" i="14"/>
  <c r="H151" i="14"/>
  <c r="G152" i="14"/>
  <c r="F149" i="14" l="1"/>
  <c r="G145" i="14"/>
  <c r="E149" i="14"/>
  <c r="G151" i="14"/>
  <c r="G141" i="14"/>
  <c r="H145" i="14"/>
  <c r="H141" i="14"/>
  <c r="G137" i="14"/>
  <c r="H152" i="14"/>
  <c r="H150" i="14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G26" i="27"/>
  <c r="H149" i="14" l="1"/>
  <c r="G149" i="14"/>
  <c r="H11" i="26"/>
  <c r="H12" i="26"/>
  <c r="H14" i="26"/>
  <c r="H16" i="26"/>
  <c r="H17" i="26"/>
  <c r="H20" i="26"/>
  <c r="H21" i="26"/>
  <c r="H22" i="26"/>
  <c r="H23" i="26"/>
  <c r="H24" i="26"/>
  <c r="H25" i="26"/>
  <c r="H26" i="26"/>
  <c r="H27" i="26"/>
  <c r="H28" i="26"/>
  <c r="H29" i="26"/>
  <c r="H150" i="26"/>
  <c r="H201" i="26"/>
  <c r="H192" i="26"/>
  <c r="H193" i="26"/>
  <c r="H197" i="26"/>
  <c r="E196" i="26"/>
  <c r="E195" i="26" s="1"/>
  <c r="F196" i="26"/>
  <c r="D196" i="26"/>
  <c r="D195" i="26" s="1"/>
  <c r="E183" i="26"/>
  <c r="E181" i="26"/>
  <c r="F181" i="26"/>
  <c r="D181" i="26"/>
  <c r="E178" i="26"/>
  <c r="E177" i="26" s="1"/>
  <c r="F178" i="26"/>
  <c r="F177" i="26" s="1"/>
  <c r="D178" i="26"/>
  <c r="D177" i="26" s="1"/>
  <c r="H169" i="26"/>
  <c r="H170" i="26"/>
  <c r="H174" i="26"/>
  <c r="H175" i="26"/>
  <c r="E173" i="26"/>
  <c r="E172" i="26" s="1"/>
  <c r="D173" i="26"/>
  <c r="D172" i="26" s="1"/>
  <c r="D165" i="26" s="1"/>
  <c r="H155" i="26"/>
  <c r="H156" i="26"/>
  <c r="H157" i="26"/>
  <c r="H158" i="26"/>
  <c r="H126" i="26"/>
  <c r="H125" i="26"/>
  <c r="H110" i="26"/>
  <c r="H111" i="26"/>
  <c r="H112" i="26"/>
  <c r="H113" i="26"/>
  <c r="H114" i="26"/>
  <c r="H115" i="26"/>
  <c r="H94" i="26"/>
  <c r="H96" i="26"/>
  <c r="H97" i="26"/>
  <c r="H98" i="26"/>
  <c r="H99" i="26"/>
  <c r="H101" i="26"/>
  <c r="H102" i="26"/>
  <c r="H103" i="26"/>
  <c r="H104" i="26"/>
  <c r="H90" i="26"/>
  <c r="H72" i="26"/>
  <c r="H32" i="26"/>
  <c r="H34" i="26"/>
  <c r="H35" i="26"/>
  <c r="H36" i="26"/>
  <c r="H37" i="26"/>
  <c r="H38" i="26"/>
  <c r="H39" i="26"/>
  <c r="H40" i="26"/>
  <c r="H41" i="26"/>
  <c r="H42" i="26"/>
  <c r="H44" i="26"/>
  <c r="H45" i="26"/>
  <c r="H49" i="26"/>
  <c r="H50" i="26"/>
  <c r="H51" i="26"/>
  <c r="H52" i="26"/>
  <c r="H53" i="26"/>
  <c r="H54" i="26"/>
  <c r="H55" i="26"/>
  <c r="H56" i="26"/>
  <c r="H139" i="22"/>
  <c r="H128" i="22"/>
  <c r="H129" i="22"/>
  <c r="H117" i="22"/>
  <c r="H104" i="22"/>
  <c r="H103" i="22"/>
  <c r="H99" i="22"/>
  <c r="H58" i="22"/>
  <c r="H59" i="22"/>
  <c r="H60" i="22"/>
  <c r="H61" i="22"/>
  <c r="H62" i="22"/>
  <c r="H63" i="22"/>
  <c r="H64" i="22"/>
  <c r="H65" i="22"/>
  <c r="H66" i="22"/>
  <c r="H68" i="22"/>
  <c r="H69" i="22"/>
  <c r="H71" i="22"/>
  <c r="H72" i="22"/>
  <c r="H80" i="22"/>
  <c r="H81" i="22"/>
  <c r="H82" i="22"/>
  <c r="H83" i="22"/>
  <c r="H31" i="22"/>
  <c r="H32" i="22"/>
  <c r="H34" i="22"/>
  <c r="H40" i="22"/>
  <c r="H41" i="22"/>
  <c r="H42" i="22"/>
  <c r="H43" i="22"/>
  <c r="H45" i="22"/>
  <c r="H46" i="22"/>
  <c r="H47" i="22"/>
  <c r="H49" i="22"/>
  <c r="H53" i="22"/>
  <c r="F23" i="22"/>
  <c r="E23" i="22"/>
  <c r="H22" i="22"/>
  <c r="G22" i="22"/>
  <c r="H19" i="22"/>
  <c r="H20" i="22"/>
  <c r="H13" i="22"/>
  <c r="H14" i="22"/>
  <c r="H15" i="22"/>
  <c r="H16" i="22"/>
  <c r="G67" i="14"/>
  <c r="G66" i="14"/>
  <c r="G59" i="14"/>
  <c r="G53" i="14"/>
  <c r="G54" i="14"/>
  <c r="G55" i="14"/>
  <c r="D119" i="14"/>
  <c r="E176" i="26" l="1"/>
  <c r="F195" i="26"/>
  <c r="H195" i="26" s="1"/>
  <c r="N28" i="26"/>
  <c r="H196" i="26"/>
  <c r="H173" i="26"/>
  <c r="H53" i="14" l="1"/>
  <c r="F118" i="26" l="1"/>
  <c r="N14" i="26" s="1"/>
  <c r="G90" i="22"/>
  <c r="G121" i="26"/>
  <c r="G56" i="22"/>
  <c r="G171" i="26"/>
  <c r="G120" i="26"/>
  <c r="F107" i="22"/>
  <c r="G103" i="22"/>
  <c r="G104" i="22"/>
  <c r="E100" i="22"/>
  <c r="F100" i="22"/>
  <c r="G84" i="22"/>
  <c r="G85" i="22"/>
  <c r="G86" i="22"/>
  <c r="G87" i="22"/>
  <c r="G88" i="22"/>
  <c r="G89" i="22"/>
  <c r="H44" i="22"/>
  <c r="H37" i="22"/>
  <c r="H36" i="22"/>
  <c r="H54" i="22"/>
  <c r="H52" i="22"/>
  <c r="H51" i="22"/>
  <c r="H50" i="22"/>
  <c r="G55" i="22"/>
  <c r="H48" i="22"/>
  <c r="F200" i="26"/>
  <c r="G119" i="26"/>
  <c r="F123" i="26"/>
  <c r="F149" i="26"/>
  <c r="F82" i="26"/>
  <c r="F76" i="26"/>
  <c r="N21" i="26" s="1"/>
  <c r="G62" i="26"/>
  <c r="G61" i="26"/>
  <c r="G60" i="26"/>
  <c r="G59" i="26"/>
  <c r="G58" i="26"/>
  <c r="G57" i="26"/>
  <c r="AD26" i="27"/>
  <c r="F23" i="24"/>
  <c r="G23" i="24"/>
  <c r="N34" i="26" l="1"/>
  <c r="H67" i="22"/>
  <c r="H100" i="22"/>
  <c r="F108" i="26"/>
  <c r="F106" i="26" s="1"/>
  <c r="H79" i="22"/>
  <c r="F29" i="22"/>
  <c r="G118" i="26"/>
  <c r="F122" i="26"/>
  <c r="F191" i="26"/>
  <c r="G9" i="24"/>
  <c r="G10" i="24"/>
  <c r="G11" i="24"/>
  <c r="G12" i="24"/>
  <c r="G13" i="24"/>
  <c r="G14" i="24"/>
  <c r="G15" i="24"/>
  <c r="G17" i="24"/>
  <c r="G18" i="24"/>
  <c r="G19" i="24"/>
  <c r="G20" i="24"/>
  <c r="F15" i="24"/>
  <c r="F17" i="24"/>
  <c r="F18" i="24"/>
  <c r="F19" i="24"/>
  <c r="F20" i="24"/>
  <c r="AC28" i="27"/>
  <c r="AD28" i="27"/>
  <c r="AD27" i="27"/>
  <c r="AC27" i="27"/>
  <c r="AC19" i="27"/>
  <c r="AC20" i="27"/>
  <c r="AC21" i="27"/>
  <c r="AC22" i="27"/>
  <c r="AD20" i="27"/>
  <c r="AD21" i="27"/>
  <c r="AD22" i="27"/>
  <c r="AB19" i="27"/>
  <c r="AD19" i="27"/>
  <c r="E7" i="22"/>
  <c r="G9" i="22"/>
  <c r="H9" i="22"/>
  <c r="AF27" i="27" l="1"/>
  <c r="AF28" i="27"/>
  <c r="AE20" i="27"/>
  <c r="AE22" i="27"/>
  <c r="AE19" i="27"/>
  <c r="AE28" i="27"/>
  <c r="AF22" i="27"/>
  <c r="AF21" i="27"/>
  <c r="AF20" i="27"/>
  <c r="AF19" i="27"/>
  <c r="AE27" i="27"/>
  <c r="AE21" i="27"/>
  <c r="B27" i="27"/>
  <c r="B9" i="27"/>
  <c r="B10" i="27"/>
  <c r="B11" i="27"/>
  <c r="B12" i="27"/>
  <c r="B13" i="27"/>
  <c r="B14" i="27"/>
  <c r="B15" i="27"/>
  <c r="B16" i="27"/>
  <c r="B17" i="27"/>
  <c r="Y8" i="27"/>
  <c r="Z26" i="27"/>
  <c r="AD25" i="27"/>
  <c r="AC25" i="27"/>
  <c r="AB25" i="27"/>
  <c r="AC26" i="27" l="1"/>
  <c r="AF26" i="27" s="1"/>
  <c r="Z32" i="27"/>
  <c r="AF25" i="27"/>
  <c r="AE25" i="27"/>
  <c r="E109" i="26" l="1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71" i="26"/>
  <c r="G72" i="26"/>
  <c r="G73" i="26"/>
  <c r="G74" i="26"/>
  <c r="G75" i="26"/>
  <c r="G77" i="26"/>
  <c r="G78" i="26"/>
  <c r="G79" i="26"/>
  <c r="G80" i="26"/>
  <c r="G83" i="26"/>
  <c r="G84" i="26"/>
  <c r="G85" i="26"/>
  <c r="G86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1" i="26"/>
  <c r="G102" i="26"/>
  <c r="G103" i="26"/>
  <c r="G104" i="26"/>
  <c r="G107" i="26"/>
  <c r="G110" i="26"/>
  <c r="G111" i="26"/>
  <c r="G112" i="26"/>
  <c r="G113" i="26"/>
  <c r="G114" i="26"/>
  <c r="G115" i="26"/>
  <c r="G124" i="26"/>
  <c r="G125" i="26"/>
  <c r="G126" i="26"/>
  <c r="G127" i="26"/>
  <c r="G128" i="26"/>
  <c r="G134" i="26"/>
  <c r="G135" i="26"/>
  <c r="G136" i="26"/>
  <c r="G137" i="26"/>
  <c r="G138" i="26"/>
  <c r="G139" i="26"/>
  <c r="G141" i="26"/>
  <c r="G143" i="26"/>
  <c r="G145" i="26"/>
  <c r="G146" i="26"/>
  <c r="G150" i="26"/>
  <c r="G152" i="26"/>
  <c r="G155" i="26"/>
  <c r="G156" i="26"/>
  <c r="G157" i="26"/>
  <c r="G158" i="26"/>
  <c r="G161" i="26"/>
  <c r="G162" i="26"/>
  <c r="G163" i="26"/>
  <c r="G164" i="26"/>
  <c r="G166" i="26"/>
  <c r="G169" i="26"/>
  <c r="G170" i="26"/>
  <c r="G174" i="26"/>
  <c r="G175" i="26"/>
  <c r="G179" i="26"/>
  <c r="G180" i="26"/>
  <c r="G181" i="26"/>
  <c r="G182" i="26"/>
  <c r="G185" i="26"/>
  <c r="G186" i="26"/>
  <c r="G187" i="26"/>
  <c r="G192" i="26"/>
  <c r="G193" i="26"/>
  <c r="G197" i="26"/>
  <c r="G199" i="26"/>
  <c r="G201" i="26"/>
  <c r="G202" i="26"/>
  <c r="G203" i="26"/>
  <c r="G204" i="26"/>
  <c r="G207" i="26"/>
  <c r="E200" i="26"/>
  <c r="E194" i="26"/>
  <c r="E191" i="26"/>
  <c r="E168" i="26"/>
  <c r="E154" i="26"/>
  <c r="E149" i="26"/>
  <c r="E133" i="26"/>
  <c r="M28" i="26" s="1"/>
  <c r="E123" i="26"/>
  <c r="E70" i="26"/>
  <c r="M17" i="26" s="1"/>
  <c r="F70" i="26"/>
  <c r="N17" i="26" s="1"/>
  <c r="E33" i="26"/>
  <c r="M14" i="26" s="1"/>
  <c r="E9" i="26"/>
  <c r="F9" i="26"/>
  <c r="D9" i="26"/>
  <c r="L10" i="26" s="1"/>
  <c r="D184" i="26"/>
  <c r="D183" i="26" s="1"/>
  <c r="D176" i="26" s="1"/>
  <c r="F142" i="26"/>
  <c r="D145" i="26"/>
  <c r="D144" i="26" s="1"/>
  <c r="D142" i="26" s="1"/>
  <c r="D125" i="22"/>
  <c r="D29" i="22"/>
  <c r="G54" i="22"/>
  <c r="E97" i="22"/>
  <c r="F97" i="22"/>
  <c r="D97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H107" i="22"/>
  <c r="H125" i="22"/>
  <c r="G126" i="22"/>
  <c r="G127" i="22"/>
  <c r="G128" i="22"/>
  <c r="G129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H123" i="26" l="1"/>
  <c r="E8" i="26"/>
  <c r="M10" i="26"/>
  <c r="F8" i="26"/>
  <c r="G149" i="26"/>
  <c r="H149" i="26"/>
  <c r="E190" i="26"/>
  <c r="H191" i="26"/>
  <c r="G200" i="26"/>
  <c r="H200" i="26"/>
  <c r="E167" i="26"/>
  <c r="E165" i="26" s="1"/>
  <c r="H168" i="26"/>
  <c r="E153" i="26"/>
  <c r="E108" i="26"/>
  <c r="H109" i="26"/>
  <c r="F69" i="26"/>
  <c r="N16" i="26" s="1"/>
  <c r="G70" i="26"/>
  <c r="G123" i="26"/>
  <c r="D8" i="26"/>
  <c r="G33" i="26"/>
  <c r="G87" i="26"/>
  <c r="G9" i="26"/>
  <c r="E148" i="26"/>
  <c r="G125" i="22"/>
  <c r="G83" i="22"/>
  <c r="E29" i="22"/>
  <c r="G49" i="22"/>
  <c r="H25" i="22"/>
  <c r="D133" i="26"/>
  <c r="D83" i="26"/>
  <c r="D87" i="26"/>
  <c r="L28" i="26" l="1"/>
  <c r="H108" i="26"/>
  <c r="L9" i="26"/>
  <c r="F6" i="26"/>
  <c r="M9" i="26"/>
  <c r="D122" i="26"/>
  <c r="D106" i="26" s="1"/>
  <c r="D82" i="26"/>
  <c r="AB28" i="27" l="1"/>
  <c r="AB27" i="27"/>
  <c r="AE26" i="27"/>
  <c r="Y26" i="27"/>
  <c r="AD17" i="27"/>
  <c r="AB17" i="27"/>
  <c r="AD16" i="27"/>
  <c r="AB16" i="27"/>
  <c r="AD15" i="27"/>
  <c r="AB15" i="27"/>
  <c r="AD14" i="27"/>
  <c r="AB14" i="27"/>
  <c r="AD13" i="27"/>
  <c r="AB13" i="27"/>
  <c r="AD12" i="27"/>
  <c r="AB12" i="27"/>
  <c r="AD11" i="27"/>
  <c r="AB11" i="27"/>
  <c r="AD10" i="27"/>
  <c r="AB10" i="27"/>
  <c r="AD9" i="27"/>
  <c r="AB9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AC8" i="27" s="1"/>
  <c r="G8" i="27"/>
  <c r="G96" i="24"/>
  <c r="F96" i="24"/>
  <c r="G95" i="24"/>
  <c r="F95" i="24"/>
  <c r="E94" i="24"/>
  <c r="E5" i="24" s="1"/>
  <c r="D94" i="24"/>
  <c r="D5" i="24" s="1"/>
  <c r="G83" i="24"/>
  <c r="F83" i="24"/>
  <c r="G82" i="24"/>
  <c r="F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F14" i="24"/>
  <c r="F13" i="24"/>
  <c r="F12" i="24"/>
  <c r="F11" i="24"/>
  <c r="F10" i="24"/>
  <c r="F9" i="24"/>
  <c r="G8" i="24"/>
  <c r="F8" i="24"/>
  <c r="G7" i="24"/>
  <c r="F7" i="24"/>
  <c r="G6" i="24"/>
  <c r="C6" i="24"/>
  <c r="C5" i="24" s="1"/>
  <c r="F206" i="26"/>
  <c r="N27" i="26" s="1"/>
  <c r="N33" i="26" s="1"/>
  <c r="E205" i="26"/>
  <c r="E198" i="26" s="1"/>
  <c r="F184" i="26"/>
  <c r="G168" i="26"/>
  <c r="F160" i="26"/>
  <c r="E160" i="26"/>
  <c r="D160" i="26"/>
  <c r="F154" i="26"/>
  <c r="N10" i="26" s="1"/>
  <c r="F148" i="26"/>
  <c r="E147" i="26"/>
  <c r="D147" i="26"/>
  <c r="E144" i="26"/>
  <c r="G144" i="26" s="1"/>
  <c r="H139" i="26"/>
  <c r="H138" i="26"/>
  <c r="H136" i="26"/>
  <c r="H135" i="26"/>
  <c r="H134" i="26"/>
  <c r="E122" i="26"/>
  <c r="E106" i="26" s="1"/>
  <c r="H89" i="26"/>
  <c r="H88" i="26"/>
  <c r="H86" i="26"/>
  <c r="H85" i="26"/>
  <c r="E82" i="26"/>
  <c r="H80" i="26"/>
  <c r="H79" i="26"/>
  <c r="H78" i="26"/>
  <c r="H77" i="26"/>
  <c r="E76" i="26"/>
  <c r="D76" i="26"/>
  <c r="L21" i="26" s="1"/>
  <c r="L34" i="26" s="1"/>
  <c r="H74" i="26"/>
  <c r="H73" i="26"/>
  <c r="H71" i="26"/>
  <c r="D70" i="26"/>
  <c r="L17" i="26" s="1"/>
  <c r="H31" i="26"/>
  <c r="H30" i="26"/>
  <c r="H155" i="22"/>
  <c r="G155" i="22"/>
  <c r="H152" i="22"/>
  <c r="H149" i="22"/>
  <c r="H148" i="22"/>
  <c r="H147" i="22"/>
  <c r="H146" i="22"/>
  <c r="H145" i="22"/>
  <c r="H143" i="22"/>
  <c r="H133" i="22"/>
  <c r="H127" i="22"/>
  <c r="H118" i="22"/>
  <c r="H116" i="22"/>
  <c r="H111" i="22"/>
  <c r="H110" i="22"/>
  <c r="G108" i="22"/>
  <c r="G107" i="22" s="1"/>
  <c r="H102" i="22"/>
  <c r="G102" i="22"/>
  <c r="H101" i="22"/>
  <c r="G101" i="22"/>
  <c r="G99" i="22"/>
  <c r="H98" i="22"/>
  <c r="H97" i="22" s="1"/>
  <c r="G98" i="22"/>
  <c r="G82" i="22"/>
  <c r="G81" i="22"/>
  <c r="G80" i="22"/>
  <c r="G79" i="22"/>
  <c r="G76" i="22"/>
  <c r="G75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3" i="22"/>
  <c r="G52" i="22"/>
  <c r="G51" i="22"/>
  <c r="G50" i="22"/>
  <c r="G48" i="22"/>
  <c r="G47" i="22"/>
  <c r="G46" i="22"/>
  <c r="G45" i="22"/>
  <c r="G44" i="22"/>
  <c r="G43" i="22"/>
  <c r="G42" i="22"/>
  <c r="G41" i="22"/>
  <c r="G40" i="22"/>
  <c r="G39" i="22"/>
  <c r="G38" i="22"/>
  <c r="G35" i="22"/>
  <c r="G33" i="22"/>
  <c r="G32" i="22"/>
  <c r="G30" i="22"/>
  <c r="G25" i="22"/>
  <c r="H24" i="22"/>
  <c r="H23" i="22" s="1"/>
  <c r="G24" i="22"/>
  <c r="F21" i="22"/>
  <c r="E21" i="22"/>
  <c r="D21" i="22"/>
  <c r="G20" i="22"/>
  <c r="G19" i="22"/>
  <c r="H18" i="22"/>
  <c r="G18" i="22"/>
  <c r="H17" i="22"/>
  <c r="G17" i="22"/>
  <c r="G16" i="22"/>
  <c r="G15" i="22"/>
  <c r="G14" i="22"/>
  <c r="G13" i="22"/>
  <c r="G12" i="22"/>
  <c r="F11" i="22"/>
  <c r="E11" i="22"/>
  <c r="D11" i="22"/>
  <c r="H8" i="22"/>
  <c r="G8" i="22"/>
  <c r="D7" i="22"/>
  <c r="F159" i="26" l="1"/>
  <c r="N24" i="26"/>
  <c r="N30" i="26" s="1"/>
  <c r="N35" i="26" s="1"/>
  <c r="D159" i="26"/>
  <c r="L24" i="26"/>
  <c r="L30" i="26" s="1"/>
  <c r="L35" i="26" s="1"/>
  <c r="E159" i="26"/>
  <c r="E151" i="26" s="1"/>
  <c r="M24" i="26"/>
  <c r="M30" i="26" s="1"/>
  <c r="M35" i="26" s="1"/>
  <c r="E69" i="26"/>
  <c r="M21" i="26"/>
  <c r="M34" i="26" s="1"/>
  <c r="H154" i="26"/>
  <c r="AD8" i="27"/>
  <c r="AE13" i="27"/>
  <c r="AE17" i="27"/>
  <c r="AF17" i="27"/>
  <c r="G23" i="22"/>
  <c r="D6" i="22"/>
  <c r="G148" i="26"/>
  <c r="H148" i="26"/>
  <c r="F183" i="26"/>
  <c r="F176" i="26" s="1"/>
  <c r="H21" i="22"/>
  <c r="G100" i="22"/>
  <c r="AF16" i="27"/>
  <c r="AE14" i="27"/>
  <c r="AF11" i="27"/>
  <c r="AF12" i="27"/>
  <c r="AB8" i="27"/>
  <c r="AE10" i="27"/>
  <c r="AE12" i="27"/>
  <c r="AF14" i="27"/>
  <c r="AE15" i="27"/>
  <c r="AE9" i="27"/>
  <c r="Y32" i="27"/>
  <c r="H32" i="27"/>
  <c r="L32" i="27"/>
  <c r="P32" i="27"/>
  <c r="T32" i="27"/>
  <c r="X32" i="27"/>
  <c r="AB26" i="27"/>
  <c r="M32" i="27"/>
  <c r="U32" i="27"/>
  <c r="V32" i="27"/>
  <c r="I32" i="27"/>
  <c r="Q32" i="27"/>
  <c r="J32" i="27"/>
  <c r="N32" i="27"/>
  <c r="R32" i="27"/>
  <c r="K32" i="27"/>
  <c r="O32" i="27"/>
  <c r="S32" i="27"/>
  <c r="W32" i="27"/>
  <c r="AA32" i="27"/>
  <c r="F94" i="24"/>
  <c r="G154" i="26"/>
  <c r="F172" i="26"/>
  <c r="G173" i="26"/>
  <c r="G133" i="26"/>
  <c r="G195" i="26"/>
  <c r="G196" i="26"/>
  <c r="G184" i="26"/>
  <c r="G183" i="26" s="1"/>
  <c r="G76" i="26"/>
  <c r="G82" i="26"/>
  <c r="G160" i="26"/>
  <c r="G177" i="26"/>
  <c r="G178" i="26"/>
  <c r="F190" i="26"/>
  <c r="G191" i="26"/>
  <c r="G206" i="26"/>
  <c r="H76" i="26"/>
  <c r="E142" i="26"/>
  <c r="G142" i="26" s="1"/>
  <c r="G97" i="22"/>
  <c r="G11" i="22"/>
  <c r="E6" i="22"/>
  <c r="H133" i="26"/>
  <c r="F147" i="26"/>
  <c r="F167" i="26"/>
  <c r="G94" i="24"/>
  <c r="F153" i="26"/>
  <c r="H82" i="26"/>
  <c r="H87" i="26"/>
  <c r="D69" i="26"/>
  <c r="H33" i="26"/>
  <c r="H9" i="26"/>
  <c r="H11" i="22"/>
  <c r="H142" i="22"/>
  <c r="H57" i="22"/>
  <c r="G21" i="22"/>
  <c r="H7" i="22"/>
  <c r="AF9" i="27"/>
  <c r="AF10" i="27"/>
  <c r="AE11" i="27"/>
  <c r="AE16" i="27"/>
  <c r="G32" i="27"/>
  <c r="F6" i="24"/>
  <c r="H70" i="26"/>
  <c r="F205" i="26"/>
  <c r="F198" i="26" s="1"/>
  <c r="F6" i="22"/>
  <c r="G7" i="22"/>
  <c r="G37" i="22"/>
  <c r="G57" i="22"/>
  <c r="N23" i="26" l="1"/>
  <c r="F165" i="26"/>
  <c r="M16" i="26"/>
  <c r="E6" i="26"/>
  <c r="E5" i="26" s="1"/>
  <c r="D151" i="26"/>
  <c r="L23" i="26"/>
  <c r="L16" i="26"/>
  <c r="D6" i="26"/>
  <c r="F151" i="26"/>
  <c r="F5" i="26" s="1"/>
  <c r="N9" i="26"/>
  <c r="N8" i="26" s="1"/>
  <c r="M23" i="26"/>
  <c r="AC32" i="27"/>
  <c r="H147" i="26"/>
  <c r="AE8" i="27"/>
  <c r="G190" i="26"/>
  <c r="H190" i="26"/>
  <c r="G172" i="26"/>
  <c r="H172" i="26"/>
  <c r="G167" i="26"/>
  <c r="H167" i="26"/>
  <c r="G153" i="26"/>
  <c r="H153" i="26"/>
  <c r="G147" i="26"/>
  <c r="G205" i="26"/>
  <c r="G198" i="26"/>
  <c r="AD32" i="27"/>
  <c r="AB32" i="27"/>
  <c r="G5" i="24"/>
  <c r="G122" i="26"/>
  <c r="G106" i="26" s="1"/>
  <c r="G159" i="26"/>
  <c r="F194" i="26"/>
  <c r="H194" i="26" s="1"/>
  <c r="H69" i="26"/>
  <c r="G69" i="26"/>
  <c r="H122" i="26"/>
  <c r="G8" i="26"/>
  <c r="F5" i="24"/>
  <c r="H8" i="26"/>
  <c r="AF8" i="27"/>
  <c r="H29" i="22"/>
  <c r="G29" i="22"/>
  <c r="H6" i="22"/>
  <c r="G6" i="22"/>
  <c r="C94" i="14"/>
  <c r="C93" i="14" s="1"/>
  <c r="D94" i="14"/>
  <c r="C91" i="14"/>
  <c r="C71" i="14"/>
  <c r="D5" i="26" l="1"/>
  <c r="L8" i="26"/>
  <c r="M8" i="26"/>
  <c r="G6" i="26"/>
  <c r="G165" i="26"/>
  <c r="H165" i="26"/>
  <c r="G194" i="26"/>
  <c r="G176" i="26"/>
  <c r="AF32" i="27"/>
  <c r="AE32" i="27"/>
  <c r="G151" i="26"/>
  <c r="H6" i="26"/>
  <c r="H106" i="26"/>
  <c r="H198" i="26"/>
  <c r="H151" i="26"/>
  <c r="H122" i="14"/>
  <c r="G122" i="14"/>
  <c r="H5" i="26" l="1"/>
  <c r="G5" i="26"/>
  <c r="H45" i="14" l="1"/>
  <c r="H46" i="14"/>
  <c r="H47" i="14"/>
  <c r="H48" i="14"/>
  <c r="H49" i="14"/>
  <c r="G45" i="14"/>
  <c r="G46" i="14"/>
  <c r="G47" i="14"/>
  <c r="G48" i="14"/>
  <c r="G49" i="14"/>
  <c r="G129" i="14"/>
  <c r="G130" i="14"/>
  <c r="G131" i="14"/>
  <c r="G133" i="14"/>
  <c r="G134" i="14"/>
  <c r="G135" i="14"/>
  <c r="H121" i="14"/>
  <c r="H123" i="14"/>
  <c r="G121" i="14"/>
  <c r="G123" i="14"/>
  <c r="H72" i="14"/>
  <c r="H73" i="14"/>
  <c r="H74" i="14"/>
  <c r="H75" i="14"/>
  <c r="H77" i="14"/>
  <c r="H78" i="14"/>
  <c r="H80" i="14"/>
  <c r="H81" i="14"/>
  <c r="H82" i="14"/>
  <c r="H83" i="14"/>
  <c r="H84" i="14"/>
  <c r="H85" i="14"/>
  <c r="H86" i="14"/>
  <c r="H87" i="14"/>
  <c r="H88" i="14"/>
  <c r="H92" i="14"/>
  <c r="H95" i="14"/>
  <c r="H96" i="14"/>
  <c r="H97" i="14"/>
  <c r="H98" i="14"/>
  <c r="H99" i="14"/>
  <c r="H100" i="14"/>
  <c r="H101" i="14"/>
  <c r="H105" i="14"/>
  <c r="H106" i="14"/>
  <c r="H107" i="14"/>
  <c r="H108" i="14"/>
  <c r="H110" i="14"/>
  <c r="H111" i="14"/>
  <c r="H112" i="14"/>
  <c r="H113" i="14"/>
  <c r="H116" i="14"/>
  <c r="G72" i="14"/>
  <c r="G73" i="14"/>
  <c r="G74" i="14"/>
  <c r="G75" i="14"/>
  <c r="G77" i="14"/>
  <c r="G78" i="14"/>
  <c r="G80" i="14"/>
  <c r="G81" i="14"/>
  <c r="G82" i="14"/>
  <c r="G83" i="14"/>
  <c r="G84" i="14"/>
  <c r="G85" i="14"/>
  <c r="G86" i="14"/>
  <c r="G87" i="14"/>
  <c r="G88" i="14"/>
  <c r="G92" i="14"/>
  <c r="G95" i="14"/>
  <c r="G96" i="14"/>
  <c r="G97" i="14"/>
  <c r="G98" i="14"/>
  <c r="G99" i="14"/>
  <c r="G100" i="14"/>
  <c r="G101" i="14"/>
  <c r="G105" i="14"/>
  <c r="G106" i="14"/>
  <c r="G107" i="14"/>
  <c r="G108" i="14"/>
  <c r="G110" i="14"/>
  <c r="G111" i="14"/>
  <c r="G112" i="14"/>
  <c r="G113" i="14"/>
  <c r="G116" i="14"/>
  <c r="H54" i="14"/>
  <c r="H55" i="14"/>
  <c r="H59" i="14"/>
  <c r="H66" i="14"/>
  <c r="H67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D109" i="14" l="1"/>
  <c r="E109" i="14"/>
  <c r="F109" i="14"/>
  <c r="C109" i="14"/>
  <c r="D104" i="14"/>
  <c r="D114" i="14" s="1"/>
  <c r="E104" i="14"/>
  <c r="E114" i="14" s="1"/>
  <c r="F104" i="14"/>
  <c r="C104" i="14"/>
  <c r="D93" i="14"/>
  <c r="E94" i="14"/>
  <c r="E93" i="14" s="1"/>
  <c r="F94" i="14"/>
  <c r="D91" i="14"/>
  <c r="D102" i="14" s="1"/>
  <c r="E91" i="14"/>
  <c r="F91" i="14"/>
  <c r="D71" i="14"/>
  <c r="E71" i="14"/>
  <c r="F71" i="14"/>
  <c r="D79" i="14"/>
  <c r="D76" i="14" s="1"/>
  <c r="E79" i="14"/>
  <c r="E76" i="14" s="1"/>
  <c r="F79" i="14"/>
  <c r="C79" i="14"/>
  <c r="E119" i="14"/>
  <c r="F119" i="14"/>
  <c r="C114" i="14" l="1"/>
  <c r="D89" i="14"/>
  <c r="D115" i="14" s="1"/>
  <c r="D117" i="14" s="1"/>
  <c r="E89" i="14"/>
  <c r="C76" i="14"/>
  <c r="C89" i="14" s="1"/>
  <c r="C102" i="14"/>
  <c r="G119" i="14"/>
  <c r="H119" i="14"/>
  <c r="F76" i="14"/>
  <c r="F89" i="14" s="1"/>
  <c r="H79" i="14"/>
  <c r="G79" i="14"/>
  <c r="H71" i="14"/>
  <c r="G71" i="14"/>
  <c r="G91" i="14"/>
  <c r="H91" i="14"/>
  <c r="F93" i="14"/>
  <c r="F102" i="14" s="1"/>
  <c r="G94" i="14"/>
  <c r="H94" i="14"/>
  <c r="G104" i="14"/>
  <c r="H104" i="14"/>
  <c r="H109" i="14"/>
  <c r="G109" i="14"/>
  <c r="F114" i="14"/>
  <c r="E102" i="14"/>
  <c r="E50" i="14"/>
  <c r="F50" i="14"/>
  <c r="D132" i="14"/>
  <c r="E132" i="14"/>
  <c r="F132" i="14"/>
  <c r="C132" i="14"/>
  <c r="D128" i="14"/>
  <c r="E128" i="14"/>
  <c r="F128" i="14"/>
  <c r="C128" i="14"/>
  <c r="E64" i="14"/>
  <c r="F64" i="14"/>
  <c r="E57" i="14"/>
  <c r="F57" i="14"/>
  <c r="E52" i="14"/>
  <c r="E25" i="14"/>
  <c r="F25" i="14"/>
  <c r="E22" i="14"/>
  <c r="E42" i="14" s="1"/>
  <c r="F22" i="14"/>
  <c r="G64" i="14" l="1"/>
  <c r="G57" i="14"/>
  <c r="G52" i="14"/>
  <c r="F68" i="14"/>
  <c r="E115" i="14"/>
  <c r="E117" i="14" s="1"/>
  <c r="C115" i="14"/>
  <c r="C117" i="14" s="1"/>
  <c r="H25" i="14"/>
  <c r="H22" i="14"/>
  <c r="F42" i="14"/>
  <c r="H64" i="14"/>
  <c r="G128" i="14"/>
  <c r="G132" i="14"/>
  <c r="H114" i="14"/>
  <c r="G114" i="14"/>
  <c r="H76" i="14"/>
  <c r="G76" i="14"/>
  <c r="H57" i="14"/>
  <c r="H89" i="14"/>
  <c r="G89" i="14"/>
  <c r="H93" i="14"/>
  <c r="G93" i="14"/>
  <c r="H52" i="14"/>
  <c r="G102" i="14"/>
  <c r="H102" i="14"/>
  <c r="H50" i="14"/>
  <c r="G50" i="14"/>
  <c r="G22" i="14"/>
  <c r="G25" i="14"/>
  <c r="F115" i="14"/>
  <c r="E68" i="14"/>
  <c r="F16" i="14"/>
  <c r="E9" i="14"/>
  <c r="F9" i="14"/>
  <c r="F15" i="14" s="1"/>
  <c r="F31" i="14" l="1"/>
  <c r="F36" i="14" s="1"/>
  <c r="F39" i="14" s="1"/>
  <c r="G68" i="14"/>
  <c r="E15" i="14"/>
  <c r="E43" i="14"/>
  <c r="G42" i="14"/>
  <c r="H42" i="14"/>
  <c r="H9" i="14"/>
  <c r="F43" i="14"/>
  <c r="H16" i="14"/>
  <c r="H68" i="14"/>
  <c r="F117" i="14"/>
  <c r="G115" i="14"/>
  <c r="H115" i="14"/>
  <c r="G9" i="14"/>
  <c r="G16" i="14"/>
  <c r="G15" i="14" l="1"/>
  <c r="E31" i="14"/>
  <c r="H31" i="14" s="1"/>
  <c r="H15" i="14"/>
  <c r="G43" i="14"/>
  <c r="H43" i="14"/>
  <c r="H117" i="14"/>
  <c r="G117" i="14"/>
  <c r="E36" i="14" l="1"/>
  <c r="H36" i="14" s="1"/>
  <c r="G31" i="14"/>
  <c r="G36" i="14" l="1"/>
  <c r="E39" i="14"/>
  <c r="H39" i="14" s="1"/>
  <c r="G39" i="14" l="1"/>
  <c r="G108" i="26"/>
  <c r="G109" i="26"/>
</calcChain>
</file>

<file path=xl/sharedStrings.xml><?xml version="1.0" encoding="utf-8"?>
<sst xmlns="http://schemas.openxmlformats.org/spreadsheetml/2006/main" count="842" uniqueCount="505">
  <si>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</si>
  <si>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</si>
  <si>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</si>
  <si>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</si>
  <si>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</si>
  <si>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</si>
  <si>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</si>
  <si>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</si>
  <si>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</si>
  <si>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</si>
  <si>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</si>
  <si>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</si>
  <si>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</si>
  <si>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</si>
  <si>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</si>
  <si>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</si>
  <si>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</si>
  <si>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інші платежі (розшифрувати)</t>
  </si>
  <si>
    <t>Фінансовий результат до оподаткування</t>
  </si>
  <si>
    <t>(ініціали, прізвище)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</si>
  <si>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</si>
  <si>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</si>
  <si>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</si>
  <si>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</si>
  <si>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</si>
  <si>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</si>
  <si>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</si>
  <si>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</si>
  <si>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</si>
  <si>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</si>
  <si>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</si>
  <si>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</si>
  <si>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</si>
  <si>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</si>
  <si>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</si>
  <si>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</si>
  <si>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</si>
  <si>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</si>
  <si>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</si>
  <si>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</si>
  <si>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</si>
  <si>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</si>
  <si>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</si>
  <si>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</si>
  <si>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</si>
  <si>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</si>
  <si>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</si>
  <si>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</si>
  <si>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</si>
  <si>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</si>
  <si>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</si>
  <si>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</si>
  <si>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</si>
  <si>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</si>
  <si>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</si>
  <si>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</si>
  <si>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</si>
  <si>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</si>
  <si>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</si>
  <si>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</si>
  <si>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</si>
  <si>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</si>
  <si>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</si>
  <si>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</si>
  <si>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</si>
  <si>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</si>
  <si>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</si>
  <si>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</si>
  <si>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</si>
  <si>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</si>
  <si>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</si>
  <si>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</si>
  <si>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</si>
  <si>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</si>
  <si>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</si>
  <si>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</si>
  <si>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</si>
  <si>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</si>
  <si>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</si>
  <si>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</si>
  <si>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</si>
  <si>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</si>
  <si>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</si>
  <si>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</si>
  <si>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</si>
  <si>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</si>
  <si>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</si>
  <si>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</si>
  <si>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</si>
  <si>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</si>
  <si>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</si>
  <si>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</si>
  <si>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</si>
  <si>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</si>
  <si>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</si>
  <si>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</si>
  <si>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</si>
  <si>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</si>
  <si>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</si>
  <si>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</si>
  <si>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</si>
  <si>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</si>
  <si>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</si>
  <si>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</si>
  <si>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</si>
  <si>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</si>
  <si>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</si>
  <si>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</si>
  <si>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</si>
  <si>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</si>
  <si>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</si>
  <si>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</si>
  <si>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</si>
  <si>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</si>
  <si>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</si>
  <si>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</si>
  <si>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</si>
  <si>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</si>
  <si>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</si>
  <si>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</si>
  <si>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</si>
  <si>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</si>
  <si>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</si>
  <si>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</si>
  <si>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</si>
  <si>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</si>
  <si>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</si>
  <si>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</si>
  <si>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</si>
  <si>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</si>
  <si>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</si>
  <si>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</si>
  <si>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</si>
  <si>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</si>
  <si>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</si>
  <si>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</si>
  <si>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Придбання (створення) нематеріальних активів, усього, у т.ч.:</t>
  </si>
  <si>
    <t xml:space="preserve">Інші надходження (розшифрувати) 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</si>
  <si>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</si>
  <si>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</si>
  <si>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</si>
  <si>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</si>
  <si>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</si>
  <si>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</si>
  <si>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</si>
  <si>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</si>
  <si>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</si>
  <si>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</si>
  <si>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</si>
  <si>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</si>
  <si>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5.</t>
  </si>
  <si>
    <t>6.1</t>
  </si>
  <si>
    <t>6.2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</si>
  <si>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</si>
  <si>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</si>
  <si>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</si>
  <si>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t>5.2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</si>
  <si>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</si>
  <si>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</si>
  <si>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</si>
  <si>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</si>
  <si>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</si>
  <si>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</si>
  <si>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</si>
  <si>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</si>
  <si>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</si>
  <si>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</si>
  <si>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</si>
  <si>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</si>
  <si>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</si>
  <si>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</si>
  <si>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</si>
  <si>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</si>
  <si>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</si>
  <si>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</si>
  <si>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</si>
  <si>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</si>
  <si>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</si>
  <si>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</si>
  <si>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>Звітний період (І півріччя)</t>
  </si>
  <si>
    <t xml:space="preserve">кошти державного бюджету від Національної служби здоров’я України </t>
  </si>
  <si>
    <t>кошти медичної субвенції з державного бюджету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</si>
  <si>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</si>
  <si>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</si>
  <si>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r>
      <t>кошти державного бюджету</t>
    </r>
    <r>
      <rPr>
        <i/>
        <sz val="14"/>
        <color indexed="8"/>
        <rFont val="Times New Roman"/>
        <family val="1"/>
        <charset val="204"/>
      </rPr>
      <t xml:space="preserve"> (відшкодування лікарям - інтернам за проходження інтернатури)</t>
    </r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</si>
  <si>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</si>
  <si>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</si>
  <si>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</si>
  <si>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</si>
  <si>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</si>
  <si>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</si>
  <si>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</si>
  <si>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медикаменти та перевязувальні матеріали</t>
  </si>
  <si>
    <t>антисептичні та дезінфекційні засоби</t>
  </si>
  <si>
    <t>туберкулін, БЦЖ</t>
  </si>
  <si>
    <t>витратні матеріали</t>
  </si>
  <si>
    <t xml:space="preserve">засоби індивідуального захисту </t>
  </si>
  <si>
    <t>Тест-системи</t>
  </si>
  <si>
    <t>Тест-смужки для глюкометрів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</si>
  <si>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</si>
  <si>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</si>
  <si>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</si>
  <si>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</si>
  <si>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</si>
  <si>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</si>
  <si>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запасні частини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</si>
  <si>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</si>
  <si>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</si>
  <si>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</si>
  <si>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</si>
  <si>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</si>
  <si>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</si>
  <si>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</si>
  <si>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</si>
  <si>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тест-системи</t>
  </si>
  <si>
    <t>тест-смужки для глюкометрів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</si>
  <si>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</si>
  <si>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</si>
  <si>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</si>
  <si>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</si>
  <si>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</si>
  <si>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</si>
  <si>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</si>
  <si>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</si>
  <si>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</si>
  <si>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по встановленню перегородок зі скла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</si>
  <si>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</si>
  <si>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</si>
  <si>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</si>
  <si>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</si>
  <si>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дератизація</t>
  </si>
  <si>
    <t>ремонт охоронної сигналізації</t>
  </si>
  <si>
    <t>технічне обстеження будівель</t>
  </si>
  <si>
    <t>послуги лабораторій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</si>
  <si>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</si>
  <si>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</si>
  <si>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</si>
  <si>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</si>
  <si>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>формова обрізка дерев</t>
  </si>
  <si>
    <t xml:space="preserve">комісія за касове обслуговування </t>
  </si>
  <si>
    <t>асфальтування території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</si>
  <si>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</si>
  <si>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</si>
  <si>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</si>
  <si>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</si>
  <si>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</si>
  <si>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</si>
  <si>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</si>
  <si>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</si>
  <si>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</si>
  <si>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інші матеріали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</si>
  <si>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</si>
  <si>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</si>
  <si>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</si>
  <si>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</si>
  <si>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</si>
  <si>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</si>
  <si>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</si>
  <si>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</si>
  <si>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послуги по зрізці аварійних дерев</t>
  </si>
  <si>
    <t>формована обрізка дерев</t>
  </si>
  <si>
    <t xml:space="preserve">гіпертонія 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</si>
  <si>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</si>
  <si>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</si>
  <si>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</si>
  <si>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</si>
  <si>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</si>
  <si>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</si>
  <si>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</si>
  <si>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</si>
  <si>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</si>
  <si>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</si>
  <si>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</si>
  <si>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</si>
  <si>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</si>
  <si>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</si>
  <si>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</si>
  <si>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</si>
  <si>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</si>
  <si>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афальтування території</t>
  </si>
  <si>
    <t>Кошти  бюджету ВМТГ/кошти бюджету ВМОТГ</t>
  </si>
  <si>
    <t>2.1.1</t>
  </si>
  <si>
    <t>2.2.5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</si>
  <si>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</si>
  <si>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</si>
  <si>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</si>
  <si>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</si>
  <si>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r>
      <t>Кошти орендарів</t>
    </r>
    <r>
      <rPr>
        <b/>
        <i/>
        <sz val="16"/>
        <rFont val="Times New Roman"/>
        <family val="1"/>
        <charset val="204"/>
      </rPr>
      <t xml:space="preserve"> (за енергоносії, оренду майна)</t>
    </r>
  </si>
  <si>
    <t>5.1.1</t>
  </si>
  <si>
    <t xml:space="preserve">вивіз  сміття </t>
  </si>
  <si>
    <t>5.2.5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</si>
  <si>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</si>
  <si>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</si>
  <si>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</si>
  <si>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</si>
  <si>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6.2.1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</si>
  <si>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</si>
  <si>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</si>
  <si>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</si>
  <si>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</si>
  <si>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</si>
  <si>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захисний одяг</t>
  </si>
  <si>
    <t>7.2</t>
  </si>
  <si>
    <t>7.3</t>
  </si>
  <si>
    <t>7.3.1</t>
  </si>
  <si>
    <t>8.</t>
  </si>
  <si>
    <r>
      <t>Кошти державного бюджету</t>
    </r>
    <r>
      <rPr>
        <b/>
        <i/>
        <sz val="16"/>
        <color indexed="8"/>
        <rFont val="Times New Roman"/>
        <family val="1"/>
        <charset val="204"/>
      </rPr>
      <t xml:space="preserve"> (відшкодування лікарям - інтернам за проходження інтернатури)</t>
    </r>
  </si>
  <si>
    <t>8.1</t>
  </si>
  <si>
    <t>8.1.2</t>
  </si>
  <si>
    <t>8.1.3</t>
  </si>
  <si>
    <t>9.</t>
  </si>
  <si>
    <t>9.1</t>
  </si>
  <si>
    <t>9.1.5</t>
  </si>
  <si>
    <t>10.</t>
  </si>
  <si>
    <t>10.1</t>
  </si>
  <si>
    <t>10.1.4</t>
  </si>
  <si>
    <t>Амортизація основних засобів і нематеріальних активів загальногосподарського призначення</t>
  </si>
  <si>
    <t>10.2</t>
  </si>
  <si>
    <t>10.2.4</t>
  </si>
  <si>
    <t>амортизація від безоплатно отриманих активів</t>
  </si>
  <si>
    <t>Директор КНП "ЦПМСД №5 м.Вінниці"</t>
  </si>
  <si>
    <t>Роман Н.І.</t>
  </si>
  <si>
    <t xml:space="preserve">(ініціали, прізвище)    </t>
  </si>
  <si>
    <t>тумбочки (2шт)</t>
  </si>
  <si>
    <t>стільці(50 шт )</t>
  </si>
  <si>
    <t>стелаж (1шт )</t>
  </si>
  <si>
    <t>крісло (5 шт)</t>
  </si>
  <si>
    <t>бойлер (1шт)</t>
  </si>
  <si>
    <t>мішки дихальні, ручні типу АМБУ (8 шт.)</t>
  </si>
  <si>
    <t>бак пластик 25л (1шт)</t>
  </si>
  <si>
    <t>безпечне скло (2шт)</t>
  </si>
  <si>
    <t>бочка пластик 120л (3шт)</t>
  </si>
  <si>
    <t>ваги напольні механічні (10шт)</t>
  </si>
  <si>
    <t>вимірювач артеріального тиску механічний зі стетоскопом (50шт)</t>
  </si>
  <si>
    <t>відра (4шт)</t>
  </si>
  <si>
    <t>вогнегасники (6шт)</t>
  </si>
  <si>
    <t>гардинне полотно (1шт)</t>
  </si>
  <si>
    <t>комутатор (4шт)</t>
  </si>
  <si>
    <t>кушетка процедурна з регулюючим підголовником (6шт)</t>
  </si>
  <si>
    <t>ліхтарик діагностичний (50шт)</t>
  </si>
  <si>
    <t>набір таблиць для перевірки зору (апарат Ротта) (15шт)</t>
  </si>
  <si>
    <t>напалечний пульсоксиметр (20шт)</t>
  </si>
  <si>
    <t>ноші медичні (7шт)</t>
  </si>
  <si>
    <t>пікфлуометр (30шт)</t>
  </si>
  <si>
    <t>принтер (20шт)</t>
  </si>
  <si>
    <t>пульсоксиметр портативний (15шт)</t>
  </si>
  <si>
    <t>ростомір настінний (10шт)</t>
  </si>
  <si>
    <t>рукав д.51мм в комплекті з ГР-50 та РС-50 (комбінований)(1шт)</t>
  </si>
  <si>
    <t>столик інструментальний (4шт)</t>
  </si>
  <si>
    <t>стремянка (3шт)</t>
  </si>
  <si>
    <t>термометр інфрачервоний (20шт)</t>
  </si>
  <si>
    <t>шафа (2шт)</t>
  </si>
  <si>
    <t>ширма для кабінетів та палат (10шт)</t>
  </si>
  <si>
    <t>оприскувач (1шт)</t>
  </si>
  <si>
    <t>контейнер під сміття з кришкою(2шт)</t>
  </si>
  <si>
    <t>сейф С-180(1шт)</t>
  </si>
  <si>
    <t>холодильник INDESIT(1шт)</t>
  </si>
  <si>
    <t>цифровий ефірний приймач(1шт)</t>
  </si>
  <si>
    <t>агрегат повітряно-опалювальний АО ЭВР 6,0/0,7 ST(220B) K(WRC) (2шт.)</t>
  </si>
  <si>
    <t>вішак підлоговий (1шт.)</t>
  </si>
  <si>
    <t>водонагрівач  50 Ariston  ( Italy) (1шт.)</t>
  </si>
  <si>
    <t>диван Аміго (4шт.)</t>
  </si>
  <si>
    <t>засіб КЗІ "SecureToken-337M" (51шт.)</t>
  </si>
  <si>
    <t>крісло поворотне BETTA GTP C P (8шт.)</t>
  </si>
  <si>
    <t>мийка н/ж 2 секц. з бортом, каркас фарб., 1100х600х600мм (1шт.)</t>
  </si>
  <si>
    <t>мобільний телефон NOKIA 105 (зі стартовим пакетом) (6шт.)</t>
  </si>
  <si>
    <t>сейф меблевий R.48.K (480*380*350, 1 полиця) (1шт.)</t>
  </si>
  <si>
    <t xml:space="preserve">стіл письмовий   (10шт ) </t>
  </si>
  <si>
    <t>стілець на рамі  SYLWIA (3шт.)</t>
  </si>
  <si>
    <t>стілець на рамі SEVEN (8шт.)</t>
  </si>
  <si>
    <t>сумка медична "Аптечка першої медичної допомоги" (7шт.)</t>
  </si>
  <si>
    <t>табурет ступінчастий розм.42*45*47см (2шт.)</t>
  </si>
  <si>
    <t>телефон стаціонарний 2Е АР-210 (white) (1шт.)</t>
  </si>
  <si>
    <t>тепловентилятор металокер.DELONGHI HFX60E20 (2000Вт) (1шт.)</t>
  </si>
  <si>
    <t>термометр безконтактний інфрачервоний FT3010 (5шт.)</t>
  </si>
  <si>
    <t>тумба для дез.зас. (2шт.)</t>
  </si>
  <si>
    <t>тумба для паперів (4шт.)</t>
  </si>
  <si>
    <t>тумба пеленальна (1шт.)</t>
  </si>
  <si>
    <t>тумба під ваги (2шт.)</t>
  </si>
  <si>
    <t>шафа для одягу (1шт.)</t>
  </si>
  <si>
    <t>шафа для паперів (2шт.)</t>
  </si>
  <si>
    <t>перфоратор (1шт-2019р.)</t>
  </si>
  <si>
    <t>бензокоса (1шт-2019р.)</t>
  </si>
  <si>
    <t>кронштейн (1 шт-2019р.)</t>
  </si>
  <si>
    <t>доріжка 2м (1 шт-2019р.)</t>
  </si>
  <si>
    <t>мікрохвильова піч (1 шт.-2019р.)</t>
  </si>
  <si>
    <t>стіл компютерний (4шт.-2019р.)</t>
  </si>
  <si>
    <t>ліжко (3шт.-2019р.)</t>
  </si>
  <si>
    <t>матрац пружинний (3 шт.-2019р)</t>
  </si>
  <si>
    <t>електроплита (1 шт.-2019р.)</t>
  </si>
  <si>
    <t>система контролю рівня глюкози в крові (8 шт-2019р.)</t>
  </si>
  <si>
    <t>Централізоване постачання (кошти бюджету ВМОТГ/кошти бюджету ВМТГ)</t>
  </si>
  <si>
    <t>Власні кошти (благодійні)</t>
  </si>
  <si>
    <t>Інші джерела  (кошти НСЗУ)</t>
  </si>
  <si>
    <t>відхилення +/-</t>
  </si>
  <si>
    <t>відхилення %</t>
  </si>
  <si>
    <t>Директор  КНП "ЦПМСД №5 м.Вінниці</t>
  </si>
  <si>
    <t>Н.І.Роман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</si>
  <si>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</si>
  <si>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</si>
  <si>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перевірка та випробування пожежних гідрантів</t>
  </si>
  <si>
    <t>оплата водопостачання та водовідведення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</si>
  <si>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</si>
  <si>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</si>
  <si>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</si>
  <si>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послуги лабораторії</t>
  </si>
  <si>
    <t>пломбування лічильника</t>
  </si>
  <si>
    <t>рекламні та маркетингові послуги</t>
  </si>
  <si>
    <t>заправка катриджів та ремонт компютерної техніки</t>
  </si>
  <si>
    <t>послуги з начання</t>
  </si>
  <si>
    <t xml:space="preserve">технічне обслуговування вогнегасників </t>
  </si>
  <si>
    <t>безкоштовне забезпечення хворих на ювенільний ревматоїдний артрит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</si>
  <si>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</si>
  <si>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</si>
  <si>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</si>
  <si>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</si>
  <si>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</si>
  <si>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штори-жалюзі рулонні (15шт)</t>
  </si>
  <si>
    <t>телевізор(1шт-І півріччя 2021р.)</t>
  </si>
  <si>
    <t>ноутбук (4шт-І півріччя 2021р.)</t>
  </si>
  <si>
    <t>операційна система Microsoft FQC-09481 WinPro 10 SNGL OLP NL Legalization GetGenuine wCOA (61шт-І півріччя 2020р), (23шт-І півріччя 2021р.)</t>
  </si>
  <si>
    <t>програмне забезпечення МІС « Доктор Елекс» із супроводом (30шт-І півріччя 2020р.), (20 шт.-І півріччя 2021р.)</t>
  </si>
  <si>
    <t>платні послуги</t>
  </si>
  <si>
    <t>біохімічний аналізатор "Фотометр" 1шт.</t>
  </si>
  <si>
    <t>теплолічильник 1шт.</t>
  </si>
  <si>
    <t>холодильник 2шт.</t>
  </si>
  <si>
    <t>центрифуга ОПн-3.04 2шт.</t>
  </si>
  <si>
    <t>біохімічний аналізатор "Фотометр" 1шт</t>
  </si>
  <si>
    <t>інструкції до вакцини</t>
  </si>
  <si>
    <t>облаштування електричного підйомника для людей з інвалідністю</t>
  </si>
  <si>
    <t>послуги з утилізації люмінісцентних ламп</t>
  </si>
  <si>
    <t>повірка опору заземлення</t>
  </si>
  <si>
    <t>перевірка пожежних гідрантів, засобів обліку</t>
  </si>
  <si>
    <t>послуги з видачі тех.умов на газифікацію</t>
  </si>
  <si>
    <t>послуги з випробування та гідропромивки системи опалення</t>
  </si>
  <si>
    <t>ремонт техніки</t>
  </si>
  <si>
    <t>видавничі послуги</t>
  </si>
  <si>
    <t>поточний ремонт приміщень</t>
  </si>
  <si>
    <t>заборгованість по Комбінату і різниця в податках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</si>
  <si>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</si>
  <si>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</si>
  <si>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</si>
  <si>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програма "Стоп-грип" медикаменти</t>
  </si>
  <si>
    <t>Матеріальні витрати, усього, у т.ч.</t>
  </si>
  <si>
    <t>медикаменти та перев'язувальні матеріали</t>
  </si>
  <si>
    <t>Кошти медичної субвенції з державного бюджету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</si>
  <si>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</si>
  <si>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</si>
  <si>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</si>
  <si>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</si>
  <si>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1.3.1</t>
  </si>
  <si>
    <t>Інші витрати, усього, в т.ч.:</t>
  </si>
  <si>
    <t>7.2.4</t>
  </si>
  <si>
    <t>Амортизація від безоплатно отриманих активів</t>
  </si>
  <si>
    <t>10.3</t>
  </si>
  <si>
    <t>10.3.4</t>
  </si>
  <si>
    <t xml:space="preserve">ЗВІТ 
 про виконання показників фінансового плану Комунальне некомерційне підприємство "Центр первинної медико-санітарної допомоги №5 м.Вінниці"
за 9 місяців  2021 року
        </t>
  </si>
  <si>
    <t>за 9 місяців  2020 року</t>
  </si>
  <si>
    <t>за 9 місяців 2021 року</t>
  </si>
  <si>
    <t>факт                        за 9 місяців 2021 року</t>
  </si>
  <si>
    <t>факт                       за 9 місяців  2020 року</t>
  </si>
  <si>
    <t>план                      за 9 місяців 2021 року</t>
  </si>
  <si>
    <t>факт                        за 9 місяців  2021 року</t>
  </si>
  <si>
    <t>факт                        за 9 місяців  2020 року</t>
  </si>
  <si>
    <t>план                     за 9 місяців 2021 року</t>
  </si>
  <si>
    <t>відшкодування пільгових пенсій (3 чол.)</t>
  </si>
  <si>
    <t>інші доходи</t>
  </si>
  <si>
    <t xml:space="preserve">послуги з охорони праці </t>
  </si>
  <si>
    <t>послуги з охорони праці</t>
  </si>
  <si>
    <t>послуги з лабораторій</t>
  </si>
  <si>
    <t>диван office eco (2шт.-2021р.)</t>
  </si>
  <si>
    <t>капітальний ремонт</t>
  </si>
  <si>
    <t>аналізатор сечі (1шт-за 9 місяців  2020р.), (1шт-за 9 місяців 2021р.)</t>
  </si>
  <si>
    <t>ліжко функціональне КФ-2 з матрацом (6шт- за 9 місяців 2020р.)</t>
  </si>
  <si>
    <t>комутатор (1шт-за 9 місяців 2020р.)</t>
  </si>
  <si>
    <t>багатофункціональний пристрій (15шт-за 9 місяців 2020р.)</t>
  </si>
  <si>
    <t>реалізація товарів (відходи пластику-шприци, системи та ін.)</t>
  </si>
  <si>
    <t>технічне обслуговування газового обладнання</t>
  </si>
  <si>
    <t>виготовлення технічного паспорту приміщень</t>
  </si>
  <si>
    <t>монтаж та налагоджування системи відеоспостереження</t>
  </si>
  <si>
    <t>перереєстрація транспортних засобів</t>
  </si>
  <si>
    <t>послуги по виготовленню кадастрового плану земельної ділянки</t>
  </si>
  <si>
    <t>послуги з технічного контролю стану транспортних засобів</t>
  </si>
  <si>
    <t xml:space="preserve"> </t>
  </si>
  <si>
    <t>кондиціонер 2шт.</t>
  </si>
  <si>
    <t>холодильна камера 1шт.</t>
  </si>
  <si>
    <t>Капітальний ремонт</t>
  </si>
  <si>
    <t>диван office eco (1 шт.-2021р.)</t>
  </si>
  <si>
    <t>Інші операційні витрати  усього, у т.ч.:</t>
  </si>
  <si>
    <t>Матеіальні витрати , усього, у т.ч.:</t>
  </si>
  <si>
    <t>план                     на 9 місяців  2021 року</t>
  </si>
  <si>
    <t>план                      на 9 місяців 2021 року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</si>
  <si>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</si>
  <si>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7.3.5</t>
  </si>
  <si>
    <t>автомобіль (3шт-І півріччя 2020р.)(3шт-І півріччя 2021р.)</t>
  </si>
  <si>
    <t>електрокардіограф Юкард-100 (8 шт-за 9 місяців 2020р.)</t>
  </si>
  <si>
    <t>комп'ютерний комплекс (33шт-за 9 місяців 2020р.)(9шт.за 9 місяців 2021р.)</t>
  </si>
  <si>
    <t>капітальний ремонт приміщень, за адресою вул. Замостянська,49</t>
  </si>
  <si>
    <t>капітальний ремонт системи опалення по вул. Замостянська,49</t>
  </si>
  <si>
    <t>за рахунок ПДВ</t>
  </si>
  <si>
    <t>придбання (створення) нематеріальних активів, усього, в тому числі:</t>
  </si>
  <si>
    <t>65,7 розш 1</t>
  </si>
  <si>
    <t>Нарахування амортизації на безоплатно отримані активи</t>
  </si>
  <si>
    <t>вирівняти за рік</t>
  </si>
  <si>
    <t xml:space="preserve">(ініціали, прізвище)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</si>
</sst>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427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66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2" fillId="0" borderId="3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179" fontId="67" fillId="29" borderId="15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2" fillId="29" borderId="22" xfId="0" applyFont="1" applyFill="1" applyBorder="1" applyAlignment="1">
      <alignment horizontal="left" vertical="center" wrapText="1"/>
    </xf>
    <xf numFmtId="0" fontId="62" fillId="29" borderId="23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vertical="center"/>
    </xf>
    <xf numFmtId="0" fontId="68" fillId="22" borderId="3" xfId="0" applyFont="1" applyFill="1" applyBorder="1" applyAlignment="1">
      <alignment horizontal="center" vertical="center" wrapText="1"/>
    </xf>
    <xf numFmtId="179" fontId="68" fillId="22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 wrapText="1"/>
    </xf>
    <xf numFmtId="179" fontId="72" fillId="22" borderId="3" xfId="0" applyNumberFormat="1" applyFont="1" applyFill="1" applyBorder="1" applyAlignment="1">
      <alignment vertical="center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horizontal="center" vertical="center"/>
    </xf>
    <xf numFmtId="0" fontId="75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69" fillId="22" borderId="15" xfId="0" applyFont="1" applyFill="1" applyBorder="1" applyAlignment="1">
      <alignment horizontal="left" vertical="center"/>
    </xf>
    <xf numFmtId="179" fontId="76" fillId="22" borderId="3" xfId="0" applyNumberFormat="1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 wrapText="1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/>
    </xf>
    <xf numFmtId="49" fontId="80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49" fontId="68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vertical="center"/>
    </xf>
    <xf numFmtId="49" fontId="75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vertical="center" wrapText="1"/>
    </xf>
    <xf numFmtId="0" fontId="80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80" fillId="22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/>
    </xf>
    <xf numFmtId="49" fontId="81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9" fontId="81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84" fillId="0" borderId="3" xfId="0" applyFont="1" applyFill="1" applyBorder="1" applyAlignment="1">
      <alignment horizontal="left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79" fillId="22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vertical="center"/>
    </xf>
    <xf numFmtId="0" fontId="68" fillId="0" borderId="0" xfId="0" applyFont="1" applyFill="1" applyBorder="1" applyAlignment="1">
      <alignment vertical="center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2" borderId="0" xfId="0" applyNumberFormat="1" applyFont="1" applyFill="1" applyBorder="1" applyAlignment="1">
      <alignment horizontal="right" vertical="center" wrapText="1"/>
    </xf>
    <xf numFmtId="170" fontId="69" fillId="29" borderId="0" xfId="0" applyNumberFormat="1" applyFont="1" applyFill="1" applyBorder="1" applyAlignment="1">
      <alignment horizontal="right" vertical="center" wrapText="1"/>
    </xf>
    <xf numFmtId="0" fontId="88" fillId="0" borderId="0" xfId="0" quotePrefix="1" applyFont="1" applyFill="1" applyBorder="1" applyAlignment="1">
      <alignment horizontal="center" vertical="center"/>
    </xf>
    <xf numFmtId="170" fontId="89" fillId="29" borderId="0" xfId="0" applyNumberFormat="1" applyFont="1" applyFill="1" applyBorder="1" applyAlignment="1">
      <alignment vertical="center"/>
    </xf>
    <xf numFmtId="0" fontId="82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vertical="center"/>
    </xf>
    <xf numFmtId="0" fontId="82" fillId="29" borderId="0" xfId="0" applyFont="1" applyFill="1" applyAlignment="1">
      <alignment horizontal="left" vertical="center"/>
    </xf>
    <xf numFmtId="0" fontId="79" fillId="22" borderId="3" xfId="0" applyFont="1" applyFill="1" applyBorder="1" applyAlignment="1">
      <alignment horizontal="center" vertical="center" wrapText="1"/>
    </xf>
    <xf numFmtId="179" fontId="79" fillId="22" borderId="3" xfId="0" applyNumberFormat="1" applyFont="1" applyFill="1" applyBorder="1" applyAlignment="1">
      <alignment horizontal="center" vertical="center" wrapText="1"/>
    </xf>
    <xf numFmtId="179" fontId="79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left" vertical="center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71" fillId="22" borderId="3" xfId="0" quotePrefix="1" applyFont="1" applyFill="1" applyBorder="1" applyAlignment="1">
      <alignment horizontal="center" vertical="center"/>
    </xf>
    <xf numFmtId="0" fontId="69" fillId="22" borderId="16" xfId="0" applyFont="1" applyFill="1" applyBorder="1" applyAlignment="1">
      <alignment vertical="center" wrapText="1"/>
    </xf>
    <xf numFmtId="169" fontId="69" fillId="22" borderId="16" xfId="0" applyNumberFormat="1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 wrapText="1"/>
    </xf>
    <xf numFmtId="179" fontId="69" fillId="22" borderId="3" xfId="0" applyNumberFormat="1" applyFont="1" applyFill="1" applyBorder="1" applyAlignment="1">
      <alignment horizontal="center" vertical="center"/>
    </xf>
    <xf numFmtId="0" fontId="70" fillId="0" borderId="13" xfId="0" applyFont="1" applyFill="1" applyBorder="1" applyAlignment="1">
      <alignment horizontal="center" vertical="center" wrapText="1"/>
    </xf>
    <xf numFmtId="0" fontId="82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vertical="center"/>
    </xf>
    <xf numFmtId="0" fontId="78" fillId="22" borderId="0" xfId="0" applyFont="1" applyFill="1" applyBorder="1" applyAlignment="1">
      <alignment horizontal="center" vertical="center"/>
    </xf>
    <xf numFmtId="0" fontId="78" fillId="22" borderId="0" xfId="0" applyFont="1" applyFill="1" applyAlignment="1">
      <alignment horizontal="right" vertical="center"/>
    </xf>
    <xf numFmtId="0" fontId="78" fillId="22" borderId="0" xfId="0" applyFont="1" applyFill="1" applyAlignment="1">
      <alignment vertical="center"/>
    </xf>
    <xf numFmtId="0" fontId="78" fillId="0" borderId="0" xfId="0" applyFont="1" applyFill="1" applyAlignment="1">
      <alignment vertical="center"/>
    </xf>
    <xf numFmtId="0" fontId="77" fillId="22" borderId="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left" vertical="center"/>
    </xf>
    <xf numFmtId="0" fontId="78" fillId="22" borderId="13" xfId="0" applyFont="1" applyFill="1" applyBorder="1" applyAlignment="1">
      <alignment vertical="center"/>
    </xf>
    <xf numFmtId="0" fontId="78" fillId="22" borderId="13" xfId="0" applyFont="1" applyFill="1" applyBorder="1" applyAlignment="1">
      <alignment horizontal="center" vertical="center"/>
    </xf>
    <xf numFmtId="0" fontId="78" fillId="22" borderId="0" xfId="0" applyFont="1" applyFill="1" applyBorder="1" applyAlignment="1">
      <alignment vertical="center"/>
    </xf>
    <xf numFmtId="0" fontId="78" fillId="0" borderId="13" xfId="0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vertical="center" wrapText="1"/>
    </xf>
    <xf numFmtId="0" fontId="78" fillId="22" borderId="0" xfId="0" applyFont="1" applyFill="1" applyBorder="1" applyAlignment="1">
      <alignment vertical="center" wrapText="1"/>
    </xf>
    <xf numFmtId="0" fontId="78" fillId="22" borderId="3" xfId="0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center" vertical="center"/>
    </xf>
    <xf numFmtId="0" fontId="78" fillId="22" borderId="15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/>
    </xf>
    <xf numFmtId="0" fontId="78" fillId="22" borderId="0" xfId="0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vertical="center"/>
    </xf>
    <xf numFmtId="179" fontId="77" fillId="22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vertical="center"/>
    </xf>
    <xf numFmtId="179" fontId="77" fillId="22" borderId="0" xfId="0" applyNumberFormat="1" applyFont="1" applyFill="1" applyBorder="1" applyAlignment="1">
      <alignment horizontal="center" vertical="center"/>
    </xf>
    <xf numFmtId="17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vertical="center"/>
    </xf>
    <xf numFmtId="179" fontId="78" fillId="0" borderId="3" xfId="0" applyNumberFormat="1" applyFont="1" applyFill="1" applyBorder="1" applyAlignment="1">
      <alignment horizontal="center" vertical="center"/>
    </xf>
    <xf numFmtId="179" fontId="82" fillId="22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/>
    </xf>
    <xf numFmtId="179" fontId="78" fillId="0" borderId="3" xfId="0" applyNumberFormat="1" applyFont="1" applyFill="1" applyBorder="1" applyAlignment="1">
      <alignment vertical="center"/>
    </xf>
    <xf numFmtId="179" fontId="78" fillId="29" borderId="3" xfId="0" applyNumberFormat="1" applyFont="1" applyFill="1" applyBorder="1" applyAlignment="1">
      <alignment horizontal="center" vertical="center" wrapText="1"/>
    </xf>
    <xf numFmtId="179" fontId="78" fillId="22" borderId="0" xfId="0" applyNumberFormat="1" applyFont="1" applyFill="1" applyBorder="1" applyAlignment="1">
      <alignment horizontal="center" vertical="center" wrapText="1"/>
    </xf>
    <xf numFmtId="179" fontId="78" fillId="22" borderId="0" xfId="0" applyNumberFormat="1" applyFont="1" applyFill="1" applyBorder="1" applyAlignment="1">
      <alignment horizontal="center" vertical="center"/>
    </xf>
    <xf numFmtId="179" fontId="91" fillId="22" borderId="0" xfId="0" applyNumberFormat="1" applyFont="1" applyFill="1" applyBorder="1" applyAlignment="1">
      <alignment horizontal="center" vertical="center" wrapText="1"/>
    </xf>
    <xf numFmtId="179" fontId="92" fillId="22" borderId="0" xfId="0" applyNumberFormat="1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 wrapText="1"/>
    </xf>
    <xf numFmtId="179" fontId="77" fillId="22" borderId="3" xfId="0" applyNumberFormat="1" applyFont="1" applyFill="1" applyBorder="1" applyAlignment="1">
      <alignment horizontal="center" vertical="center" wrapText="1"/>
    </xf>
    <xf numFmtId="169" fontId="78" fillId="22" borderId="0" xfId="0" applyNumberFormat="1" applyFont="1" applyFill="1" applyBorder="1" applyAlignment="1">
      <alignment horizontal="center" vertical="center" wrapText="1"/>
    </xf>
    <xf numFmtId="0" fontId="77" fillId="22" borderId="0" xfId="0" applyFont="1" applyFill="1" applyBorder="1" applyAlignment="1">
      <alignment horizontal="right" vertical="center"/>
    </xf>
    <xf numFmtId="169" fontId="77" fillId="22" borderId="0" xfId="0" applyNumberFormat="1" applyFont="1" applyFill="1" applyBorder="1" applyAlignment="1">
      <alignment horizontal="right" vertical="center"/>
    </xf>
    <xf numFmtId="0" fontId="78" fillId="22" borderId="0" xfId="0" applyFont="1" applyFill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78" fillId="22" borderId="0" xfId="0" applyFont="1" applyFill="1" applyAlignment="1"/>
    <xf numFmtId="0" fontId="78" fillId="22" borderId="0" xfId="0" applyFont="1" applyFill="1" applyBorder="1" applyAlignment="1">
      <alignment horizontal="center"/>
    </xf>
    <xf numFmtId="0" fontId="78" fillId="22" borderId="0" xfId="0" applyFont="1" applyFill="1" applyBorder="1" applyAlignment="1"/>
    <xf numFmtId="0" fontId="78" fillId="0" borderId="0" xfId="0" applyFont="1" applyFill="1" applyAlignment="1"/>
    <xf numFmtId="0" fontId="95" fillId="22" borderId="0" xfId="0" applyFont="1" applyFill="1" applyAlignment="1">
      <alignment horizontal="center" vertical="center"/>
    </xf>
    <xf numFmtId="0" fontId="95" fillId="22" borderId="0" xfId="0" applyFont="1" applyFill="1" applyBorder="1" applyAlignment="1">
      <alignment horizontal="center" vertical="center"/>
    </xf>
    <xf numFmtId="0" fontId="78" fillId="22" borderId="0" xfId="0" applyFont="1" applyFill="1" applyAlignment="1">
      <alignment vertical="center" wrapText="1" shrinkToFit="1"/>
    </xf>
    <xf numFmtId="0" fontId="78" fillId="22" borderId="0" xfId="0" applyFont="1" applyFill="1" applyBorder="1" applyAlignment="1">
      <alignment vertical="center" wrapText="1" shrinkToFit="1"/>
    </xf>
    <xf numFmtId="0" fontId="84" fillId="0" borderId="0" xfId="0" applyFont="1" applyFill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62" fillId="30" borderId="0" xfId="0" applyFont="1" applyFill="1" applyBorder="1" applyAlignment="1">
      <alignment vertical="center"/>
    </xf>
    <xf numFmtId="0" fontId="71" fillId="22" borderId="15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177" fontId="69" fillId="22" borderId="0" xfId="0" applyNumberFormat="1" applyFont="1" applyFill="1" applyBorder="1" applyAlignment="1">
      <alignment horizontal="center" vertical="center" wrapText="1"/>
    </xf>
    <xf numFmtId="179" fontId="72" fillId="22" borderId="0" xfId="0" applyNumberFormat="1" applyFont="1" applyFill="1" applyBorder="1" applyAlignment="1">
      <alignment vertical="center"/>
    </xf>
    <xf numFmtId="0" fontId="82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0" fontId="71" fillId="22" borderId="0" xfId="0" applyFont="1" applyFill="1" applyBorder="1" applyAlignment="1">
      <alignment horizontal="left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69" fillId="0" borderId="17" xfId="0" applyFont="1" applyFill="1" applyBorder="1" applyAlignment="1">
      <alignment horizontal="left" vertical="center" wrapText="1"/>
    </xf>
    <xf numFmtId="0" fontId="69" fillId="22" borderId="3" xfId="0" applyFont="1" applyFill="1" applyBorder="1" applyAlignment="1">
      <alignment wrapText="1"/>
    </xf>
    <xf numFmtId="179" fontId="99" fillId="29" borderId="3" xfId="0" applyNumberFormat="1" applyFont="1" applyFill="1" applyBorder="1" applyAlignment="1">
      <alignment horizontal="center" vertical="center" wrapText="1"/>
    </xf>
    <xf numFmtId="179" fontId="98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70" fillId="22" borderId="3" xfId="0" applyNumberFormat="1" applyFont="1" applyFill="1" applyBorder="1" applyAlignment="1">
      <alignment vertical="center"/>
    </xf>
    <xf numFmtId="177" fontId="71" fillId="22" borderId="3" xfId="0" applyNumberFormat="1" applyFont="1" applyFill="1" applyBorder="1" applyAlignment="1">
      <alignment vertical="center"/>
    </xf>
    <xf numFmtId="177" fontId="98" fillId="29" borderId="3" xfId="0" applyNumberFormat="1" applyFont="1" applyFill="1" applyBorder="1" applyAlignment="1">
      <alignment vertical="center"/>
    </xf>
    <xf numFmtId="177" fontId="72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68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vertical="center"/>
    </xf>
    <xf numFmtId="0" fontId="79" fillId="0" borderId="13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86" fillId="29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/>
    </xf>
    <xf numFmtId="179" fontId="98" fillId="0" borderId="3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82" fillId="0" borderId="0" xfId="0" applyFont="1" applyFill="1" applyAlignment="1">
      <alignment vertical="center"/>
    </xf>
    <xf numFmtId="0" fontId="68" fillId="22" borderId="15" xfId="0" applyFont="1" applyFill="1" applyBorder="1" applyAlignment="1">
      <alignment horizontal="left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0" borderId="3" xfId="0" applyFont="1" applyBorder="1" applyAlignment="1">
      <alignment horizontal="left" vertical="center" wrapText="1"/>
    </xf>
    <xf numFmtId="0" fontId="68" fillId="22" borderId="3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0" fontId="68" fillId="22" borderId="15" xfId="0" applyFont="1" applyFill="1" applyBorder="1" applyAlignment="1">
      <alignment horizontal="center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180" fontId="64" fillId="0" borderId="0" xfId="0" applyNumberFormat="1" applyFont="1" applyFill="1" applyBorder="1" applyAlignment="1">
      <alignment vertical="center"/>
    </xf>
    <xf numFmtId="177" fontId="98" fillId="22" borderId="3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center" vertical="center"/>
    </xf>
    <xf numFmtId="179" fontId="77" fillId="29" borderId="23" xfId="0" applyNumberFormat="1" applyFont="1" applyFill="1" applyBorder="1" applyAlignment="1">
      <alignment horizontal="center" vertical="center" wrapText="1"/>
    </xf>
    <xf numFmtId="179" fontId="78" fillId="29" borderId="23" xfId="0" applyNumberFormat="1" applyFont="1" applyFill="1" applyBorder="1" applyAlignment="1">
      <alignment horizontal="center" vertical="center" wrapText="1"/>
    </xf>
    <xf numFmtId="178" fontId="79" fillId="29" borderId="3" xfId="0" applyNumberFormat="1" applyFont="1" applyFill="1" applyBorder="1" applyAlignment="1">
      <alignment horizontal="center" vertical="center" wrapText="1"/>
    </xf>
    <xf numFmtId="178" fontId="82" fillId="29" borderId="3" xfId="0" applyNumberFormat="1" applyFont="1" applyFill="1" applyBorder="1" applyAlignment="1">
      <alignment horizontal="center" vertical="center" wrapText="1"/>
    </xf>
    <xf numFmtId="179" fontId="82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82" fillId="29" borderId="3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169" fontId="69" fillId="29" borderId="3" xfId="0" applyNumberFormat="1" applyFont="1" applyFill="1" applyBorder="1" applyAlignment="1">
      <alignment vertic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180" fontId="77" fillId="29" borderId="3" xfId="0" applyNumberFormat="1" applyFont="1" applyFill="1" applyBorder="1" applyAlignment="1">
      <alignment horizontal="center" vertical="center" wrapText="1"/>
    </xf>
    <xf numFmtId="179" fontId="74" fillId="29" borderId="3" xfId="0" applyNumberFormat="1" applyFont="1" applyFill="1" applyBorder="1" applyAlignment="1">
      <alignment horizontal="center" vertical="center" wrapText="1"/>
    </xf>
    <xf numFmtId="169" fontId="80" fillId="29" borderId="3" xfId="0" applyNumberFormat="1" applyFont="1" applyFill="1" applyBorder="1" applyAlignment="1">
      <alignment horizontal="right" vertical="center"/>
    </xf>
    <xf numFmtId="169" fontId="85" fillId="29" borderId="3" xfId="0" applyNumberFormat="1" applyFont="1" applyFill="1" applyBorder="1" applyAlignment="1">
      <alignment horizontal="right" vertical="center"/>
    </xf>
    <xf numFmtId="169" fontId="69" fillId="29" borderId="3" xfId="0" applyNumberFormat="1" applyFont="1" applyFill="1" applyBorder="1" applyAlignment="1">
      <alignment horizontal="right" vertical="center"/>
    </xf>
    <xf numFmtId="169" fontId="75" fillId="29" borderId="3" xfId="0" applyNumberFormat="1" applyFont="1" applyFill="1" applyBorder="1" applyAlignment="1">
      <alignment horizontal="right" vertical="center"/>
    </xf>
    <xf numFmtId="179" fontId="87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vertical="center"/>
    </xf>
    <xf numFmtId="179" fontId="63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left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0" fontId="67" fillId="0" borderId="3" xfId="0" applyFont="1" applyFill="1" applyBorder="1" applyAlignment="1">
      <alignment horizontal="center" vertical="center" wrapText="1"/>
    </xf>
    <xf numFmtId="179" fontId="77" fillId="0" borderId="23" xfId="0" applyNumberFormat="1" applyFont="1" applyFill="1" applyBorder="1" applyAlignment="1">
      <alignment horizontal="center" vertical="center" wrapText="1"/>
    </xf>
    <xf numFmtId="179" fontId="67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 applyProtection="1">
      <alignment horizontal="center" vertical="center" wrapText="1"/>
      <protection locked="0"/>
    </xf>
    <xf numFmtId="177" fontId="67" fillId="0" borderId="3" xfId="0" applyNumberFormat="1" applyFont="1" applyFill="1" applyBorder="1" applyAlignment="1">
      <alignment horizontal="center" vertical="center" wrapText="1"/>
    </xf>
    <xf numFmtId="0" fontId="67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0" fontId="62" fillId="0" borderId="3" xfId="182" applyFont="1" applyFill="1" applyBorder="1" applyAlignment="1">
      <alignment vertical="center" wrapText="1"/>
      <protection locked="0"/>
    </xf>
    <xf numFmtId="177" fontId="62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horizontal="center" vertical="center" wrapText="1"/>
    </xf>
    <xf numFmtId="0" fontId="67" fillId="0" borderId="17" xfId="0" applyFont="1" applyFill="1" applyBorder="1" applyAlignment="1" applyProtection="1">
      <alignment horizontal="left" vertical="center" wrapText="1"/>
      <protection locked="0"/>
    </xf>
    <xf numFmtId="0" fontId="67" fillId="0" borderId="17" xfId="0" applyFont="1" applyFill="1" applyBorder="1" applyAlignment="1">
      <alignment horizontal="center" vertical="center" wrapText="1"/>
    </xf>
    <xf numFmtId="177" fontId="67" fillId="0" borderId="17" xfId="0" applyNumberFormat="1" applyFont="1" applyFill="1" applyBorder="1" applyAlignment="1">
      <alignment horizontal="center" vertical="center" wrapText="1"/>
    </xf>
    <xf numFmtId="0" fontId="67" fillId="0" borderId="17" xfId="0" applyFont="1" applyFill="1" applyBorder="1" applyAlignment="1" applyProtection="1">
      <alignment horizontal="center" vertical="center" wrapText="1"/>
      <protection locked="0"/>
    </xf>
    <xf numFmtId="0" fontId="62" fillId="0" borderId="17" xfId="0" applyFont="1" applyFill="1" applyBorder="1" applyAlignment="1">
      <alignment horizontal="center" vertical="center" wrapText="1"/>
    </xf>
    <xf numFmtId="177" fontId="62" fillId="0" borderId="17" xfId="0" applyNumberFormat="1" applyFont="1" applyFill="1" applyBorder="1" applyAlignment="1">
      <alignment horizontal="center" vertical="center" wrapText="1"/>
    </xf>
    <xf numFmtId="0" fontId="62" fillId="0" borderId="17" xfId="0" applyFont="1" applyFill="1" applyBorder="1" applyAlignment="1" applyProtection="1">
      <alignment horizontal="left" vertical="center" wrapText="1"/>
      <protection locked="0"/>
    </xf>
    <xf numFmtId="0" fontId="66" fillId="0" borderId="17" xfId="0" applyFont="1" applyFill="1" applyBorder="1" applyAlignment="1">
      <alignment horizontal="center" vertical="center" wrapText="1"/>
    </xf>
    <xf numFmtId="177" fontId="66" fillId="0" borderId="17" xfId="0" applyNumberFormat="1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left" vertical="center" wrapText="1"/>
    </xf>
    <xf numFmtId="0" fontId="67" fillId="0" borderId="18" xfId="0" applyFont="1" applyFill="1" applyBorder="1" applyAlignment="1">
      <alignment horizontal="left" vertical="center" wrapText="1"/>
    </xf>
    <xf numFmtId="0" fontId="67" fillId="0" borderId="20" xfId="182" applyFont="1" applyFill="1" applyBorder="1" applyAlignment="1">
      <alignment vertical="center" wrapText="1"/>
      <protection locked="0"/>
    </xf>
    <xf numFmtId="0" fontId="62" fillId="0" borderId="21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/>
    </xf>
    <xf numFmtId="0" fontId="82" fillId="0" borderId="3" xfId="0" applyFont="1" applyFill="1" applyBorder="1" applyAlignment="1">
      <alignment horizontal="center" vertical="center" wrapText="1"/>
    </xf>
    <xf numFmtId="179" fontId="74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169" fontId="75" fillId="0" borderId="3" xfId="0" applyNumberFormat="1" applyFont="1" applyFill="1" applyBorder="1" applyAlignment="1">
      <alignment horizontal="right" vertical="center"/>
    </xf>
    <xf numFmtId="169" fontId="80" fillId="0" borderId="3" xfId="0" applyNumberFormat="1" applyFont="1" applyFill="1" applyBorder="1" applyAlignment="1">
      <alignment horizontal="right" vertical="center"/>
    </xf>
    <xf numFmtId="169" fontId="68" fillId="0" borderId="3" xfId="0" applyNumberFormat="1" applyFont="1" applyFill="1" applyBorder="1" applyAlignment="1">
      <alignment horizontal="right" vertical="center"/>
    </xf>
    <xf numFmtId="169" fontId="69" fillId="0" borderId="3" xfId="0" applyNumberFormat="1" applyFont="1" applyFill="1" applyBorder="1" applyAlignment="1">
      <alignment horizontal="right" vertical="center"/>
    </xf>
    <xf numFmtId="169" fontId="77" fillId="0" borderId="3" xfId="0" applyNumberFormat="1" applyFont="1" applyFill="1" applyBorder="1" applyAlignment="1">
      <alignment horizontal="right" vertical="center"/>
    </xf>
    <xf numFmtId="0" fontId="100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center" vertical="center"/>
    </xf>
    <xf numFmtId="0" fontId="79" fillId="22" borderId="13" xfId="0" applyFont="1" applyFill="1" applyBorder="1" applyAlignment="1">
      <alignment horizontal="center" vertical="center"/>
    </xf>
    <xf numFmtId="0" fontId="82" fillId="0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170" fontId="79" fillId="0" borderId="13" xfId="0" applyNumberFormat="1" applyFont="1" applyFill="1" applyBorder="1" applyAlignment="1">
      <alignment horizontal="center" vertical="center" wrapText="1"/>
    </xf>
    <xf numFmtId="170" fontId="79" fillId="0" borderId="13" xfId="0" quotePrefix="1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/>
    </xf>
    <xf numFmtId="0" fontId="65" fillId="0" borderId="24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25" xfId="0" applyFont="1" applyFill="1" applyBorder="1" applyAlignment="1">
      <alignment horizontal="left" vertical="center"/>
    </xf>
    <xf numFmtId="170" fontId="88" fillId="29" borderId="13" xfId="0" applyNumberFormat="1" applyFont="1" applyFill="1" applyBorder="1" applyAlignment="1">
      <alignment horizontal="center" vertical="center" wrapText="1"/>
    </xf>
    <xf numFmtId="170" fontId="88" fillId="29" borderId="13" xfId="0" quotePrefix="1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vertical="center" wrapText="1"/>
    </xf>
    <xf numFmtId="170" fontId="71" fillId="29" borderId="13" xfId="0" quotePrefix="1" applyNumberFormat="1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70" fillId="22" borderId="13" xfId="0" applyFont="1" applyFill="1" applyBorder="1" applyAlignment="1">
      <alignment horizontal="center" vertical="center"/>
    </xf>
    <xf numFmtId="0" fontId="78" fillId="0" borderId="15" xfId="0" applyFont="1" applyFill="1" applyBorder="1" applyAlignment="1">
      <alignment horizontal="left" vertical="center" wrapText="1"/>
    </xf>
    <xf numFmtId="0" fontId="78" fillId="0" borderId="14" xfId="0" applyFont="1" applyFill="1" applyBorder="1" applyAlignment="1">
      <alignment horizontal="left" vertical="center" wrapText="1"/>
    </xf>
    <xf numFmtId="0" fontId="78" fillId="0" borderId="16" xfId="0" applyFont="1" applyFill="1" applyBorder="1" applyAlignment="1">
      <alignment horizontal="left" vertical="center" wrapText="1"/>
    </xf>
    <xf numFmtId="0" fontId="77" fillId="22" borderId="15" xfId="0" applyFont="1" applyFill="1" applyBorder="1" applyAlignment="1">
      <alignment horizontal="left" vertical="center" wrapText="1"/>
    </xf>
    <xf numFmtId="0" fontId="77" fillId="22" borderId="14" xfId="0" applyFont="1" applyFill="1" applyBorder="1" applyAlignment="1">
      <alignment horizontal="left" vertical="center" wrapText="1"/>
    </xf>
    <xf numFmtId="0" fontId="77" fillId="22" borderId="16" xfId="0" applyFont="1" applyFill="1" applyBorder="1" applyAlignment="1">
      <alignment horizontal="left" vertical="center" wrapText="1"/>
    </xf>
    <xf numFmtId="0" fontId="84" fillId="0" borderId="0" xfId="0" applyFont="1" applyFill="1" applyAlignment="1">
      <alignment vertical="center" wrapText="1"/>
    </xf>
    <xf numFmtId="0" fontId="96" fillId="0" borderId="0" xfId="0" applyFont="1" applyAlignment="1">
      <alignment vertical="center" wrapText="1"/>
    </xf>
    <xf numFmtId="0" fontId="78" fillId="22" borderId="15" xfId="0" applyFont="1" applyFill="1" applyBorder="1" applyAlignment="1">
      <alignment horizontal="left" vertical="center" wrapText="1"/>
    </xf>
    <xf numFmtId="0" fontId="78" fillId="22" borderId="14" xfId="0" applyFont="1" applyFill="1" applyBorder="1" applyAlignment="1">
      <alignment horizontal="left" vertical="center" wrapText="1"/>
    </xf>
    <xf numFmtId="0" fontId="78" fillId="22" borderId="16" xfId="0" applyFont="1" applyFill="1" applyBorder="1" applyAlignment="1">
      <alignment horizontal="left" vertical="center" wrapText="1"/>
    </xf>
    <xf numFmtId="3" fontId="77" fillId="22" borderId="15" xfId="0" applyNumberFormat="1" applyFont="1" applyFill="1" applyBorder="1" applyAlignment="1">
      <alignment horizontal="left" vertical="center" wrapText="1"/>
    </xf>
    <xf numFmtId="3" fontId="77" fillId="22" borderId="14" xfId="0" applyNumberFormat="1" applyFont="1" applyFill="1" applyBorder="1" applyAlignment="1">
      <alignment horizontal="left" vertical="center" wrapText="1"/>
    </xf>
    <xf numFmtId="3" fontId="77" fillId="22" borderId="16" xfId="0" applyNumberFormat="1" applyFont="1" applyFill="1" applyBorder="1" applyAlignment="1">
      <alignment horizontal="left" vertical="center" wrapText="1"/>
    </xf>
    <xf numFmtId="0" fontId="78" fillId="22" borderId="0" xfId="0" applyFont="1" applyFill="1" applyBorder="1" applyAlignment="1">
      <alignment horizontal="center"/>
    </xf>
    <xf numFmtId="0" fontId="77" fillId="22" borderId="13" xfId="0" applyFont="1" applyFill="1" applyBorder="1" applyAlignment="1">
      <alignment horizontal="center"/>
    </xf>
    <xf numFmtId="0" fontId="78" fillId="22" borderId="0" xfId="0" applyFont="1" applyFill="1" applyAlignment="1">
      <alignment horizontal="center" vertical="center"/>
    </xf>
    <xf numFmtId="0" fontId="78" fillId="22" borderId="0" xfId="0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center" vertical="center" wrapText="1"/>
    </xf>
    <xf numFmtId="0" fontId="78" fillId="22" borderId="17" xfId="0" applyFont="1" applyFill="1" applyBorder="1" applyAlignment="1">
      <alignment horizontal="center" vertical="center" wrapText="1"/>
    </xf>
    <xf numFmtId="0" fontId="78" fillId="22" borderId="18" xfId="0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0" fontId="78" fillId="0" borderId="17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78" fillId="22" borderId="15" xfId="0" applyFont="1" applyFill="1" applyBorder="1" applyAlignment="1">
      <alignment horizontal="center" vertical="center" wrapText="1"/>
    </xf>
    <xf numFmtId="0" fontId="78" fillId="22" borderId="14" xfId="0" applyFont="1" applyFill="1" applyBorder="1" applyAlignment="1">
      <alignment horizontal="center" vertical="center" wrapText="1"/>
    </xf>
    <xf numFmtId="0" fontId="78" fillId="22" borderId="16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8" fillId="0" borderId="28" xfId="0" applyFont="1" applyFill="1" applyBorder="1" applyAlignment="1">
      <alignment horizontal="center" vertical="center" wrapText="1"/>
    </xf>
    <xf numFmtId="0" fontId="78" fillId="0" borderId="29" xfId="0" applyFont="1" applyFill="1" applyBorder="1" applyAlignment="1">
      <alignment horizontal="center" vertical="center" wrapText="1"/>
    </xf>
    <xf numFmtId="0" fontId="78" fillId="0" borderId="13" xfId="0" applyFont="1" applyFill="1" applyBorder="1" applyAlignment="1">
      <alignment horizontal="center" vertical="center" wrapText="1"/>
    </xf>
    <xf numFmtId="0" fontId="78" fillId="0" borderId="25" xfId="0" applyFont="1" applyFill="1" applyBorder="1" applyAlignment="1">
      <alignment horizontal="center" vertical="center" wrapText="1"/>
    </xf>
    <xf numFmtId="0" fontId="90" fillId="22" borderId="0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center" wrapText="1"/>
    </xf>
    <xf numFmtId="0" fontId="79" fillId="0" borderId="0" xfId="0" quotePrefix="1" applyFont="1" applyFill="1" applyBorder="1" applyAlignment="1">
      <alignment horizontal="center"/>
    </xf>
    <xf numFmtId="170" fontId="79" fillId="0" borderId="13" xfId="0" applyNumberFormat="1" applyFont="1" applyFill="1" applyBorder="1" applyAlignment="1">
      <alignment horizontal="center" wrapText="1"/>
    </xf>
    <xf numFmtId="170" fontId="79" fillId="0" borderId="13" xfId="0" quotePrefix="1" applyNumberFormat="1" applyFont="1" applyFill="1" applyBorder="1" applyAlignment="1">
      <alignment horizontal="center" wrapText="1"/>
    </xf>
    <xf numFmtId="170" fontId="86" fillId="29" borderId="0" xfId="0" applyNumberFormat="1" applyFont="1" applyFill="1" applyBorder="1" applyAlignment="1"/>
    <xf numFmtId="0" fontId="79" fillId="22" borderId="13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center"/>
    </xf>
    <xf numFmtId="0" fontId="78" fillId="0" borderId="19" xfId="0" applyFont="1" applyFill="1" applyBorder="1" applyAlignment="1">
      <alignment horizontal="center" vertical="center"/>
    </xf>
    <xf numFmtId="0" fontId="93" fillId="22" borderId="0" xfId="0" applyFont="1" applyFill="1" applyBorder="1" applyAlignment="1">
      <alignment horizontal="center" wrapText="1"/>
    </xf>
    <xf numFmtId="0" fontId="94" fillId="22" borderId="0" xfId="0" applyFont="1" applyFill="1" applyAlignment="1">
      <alignment horizontal="center"/>
    </xf>
  </cellXfs>
  <cellStyles count="353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C000000}"/>
    <cellStyle name="Итог 3" xfId="221" xr:uid="{00000000-0005-0000-0000-0000DD000000}"/>
    <cellStyle name="Контрольная ячейка 2" xfId="222" xr:uid="{00000000-0005-0000-0000-0000DE000000}"/>
    <cellStyle name="Контрольная ячейка 3" xfId="223" xr:uid="{00000000-0005-0000-0000-0000DF000000}"/>
    <cellStyle name="Название 2" xfId="224" xr:uid="{00000000-0005-0000-0000-0000E0000000}"/>
    <cellStyle name="Название 3" xfId="225" xr:uid="{00000000-0005-0000-0000-0000E1000000}"/>
    <cellStyle name="Нейтральный 2" xfId="226" xr:uid="{00000000-0005-0000-0000-0000E2000000}"/>
    <cellStyle name="Нейтральный 3" xfId="227" xr:uid="{00000000-0005-0000-0000-0000E3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307"/>
  <sheetViews>
    <sheetView view="pageBreakPreview" topLeftCell="A136" zoomScale="70" zoomScaleNormal="75" zoomScaleSheetLayoutView="70" workbookViewId="0">
      <selection activeCell="F156" sqref="F156:G156"/>
    </sheetView>
  </sheetViews>
  <sheetFormatPr defaultRowHeight="20.25"/>
  <cols>
    <col min="1" max="1" width="65.42578125" style="3" customWidth="1"/>
    <col min="2" max="2" width="17.28515625" style="4" customWidth="1"/>
    <col min="3" max="4" width="18" style="271" customWidth="1"/>
    <col min="5" max="5" width="18.7109375" style="276" customWidth="1"/>
    <col min="6" max="6" width="19" style="276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22.25" customHeight="1">
      <c r="A1" s="352" t="s">
        <v>456</v>
      </c>
      <c r="B1" s="351"/>
      <c r="C1" s="351"/>
      <c r="D1" s="351"/>
      <c r="E1" s="351"/>
      <c r="F1" s="351"/>
      <c r="G1" s="351"/>
      <c r="H1" s="351"/>
    </row>
    <row r="2" spans="1:8" ht="30" customHeight="1">
      <c r="A2" s="351" t="s">
        <v>25</v>
      </c>
      <c r="B2" s="351"/>
      <c r="C2" s="351"/>
      <c r="D2" s="351"/>
      <c r="E2" s="351"/>
      <c r="F2" s="351"/>
      <c r="G2" s="351"/>
      <c r="H2" s="351"/>
    </row>
    <row r="3" spans="1:8" ht="23.25" customHeight="1">
      <c r="B3" s="5"/>
      <c r="C3" s="262"/>
      <c r="D3" s="272"/>
      <c r="E3" s="272"/>
      <c r="F3" s="272"/>
      <c r="G3" s="5"/>
      <c r="H3" s="6" t="s">
        <v>87</v>
      </c>
    </row>
    <row r="4" spans="1:8" ht="48.75" customHeight="1">
      <c r="A4" s="361" t="s">
        <v>31</v>
      </c>
      <c r="B4" s="362" t="s">
        <v>5</v>
      </c>
      <c r="C4" s="362" t="s">
        <v>168</v>
      </c>
      <c r="D4" s="362"/>
      <c r="E4" s="361" t="s">
        <v>179</v>
      </c>
      <c r="F4" s="361"/>
      <c r="G4" s="361"/>
      <c r="H4" s="361"/>
    </row>
    <row r="5" spans="1:8" ht="70.5" customHeight="1">
      <c r="A5" s="361"/>
      <c r="B5" s="362"/>
      <c r="C5" s="20" t="s">
        <v>457</v>
      </c>
      <c r="D5" s="20" t="s">
        <v>458</v>
      </c>
      <c r="E5" s="7" t="s">
        <v>490</v>
      </c>
      <c r="F5" s="7" t="s">
        <v>459</v>
      </c>
      <c r="G5" s="7" t="s">
        <v>157</v>
      </c>
      <c r="H5" s="7" t="s">
        <v>158</v>
      </c>
    </row>
    <row r="6" spans="1:8" ht="29.25" customHeight="1">
      <c r="A6" s="8">
        <v>1</v>
      </c>
      <c r="B6" s="251">
        <v>2</v>
      </c>
      <c r="C6" s="20">
        <v>3</v>
      </c>
      <c r="D6" s="20">
        <v>4</v>
      </c>
      <c r="E6" s="20">
        <v>5</v>
      </c>
      <c r="F6" s="20">
        <v>6</v>
      </c>
      <c r="G6" s="251">
        <v>7</v>
      </c>
      <c r="H6" s="251">
        <v>8</v>
      </c>
    </row>
    <row r="7" spans="1:8" ht="24.95" customHeight="1">
      <c r="A7" s="363" t="s">
        <v>138</v>
      </c>
      <c r="B7" s="363"/>
      <c r="C7" s="363"/>
      <c r="D7" s="363"/>
      <c r="E7" s="363"/>
      <c r="F7" s="363"/>
      <c r="G7" s="363"/>
      <c r="H7" s="363"/>
    </row>
    <row r="8" spans="1:8" ht="45" customHeight="1">
      <c r="A8" s="9" t="s">
        <v>169</v>
      </c>
      <c r="B8" s="10">
        <v>1000</v>
      </c>
      <c r="C8" s="86">
        <v>29220</v>
      </c>
      <c r="D8" s="11">
        <v>34249.599999999999</v>
      </c>
      <c r="E8" s="11">
        <v>32077.599999999999</v>
      </c>
      <c r="F8" s="11">
        <v>34249.599999999999</v>
      </c>
      <c r="G8" s="11">
        <f>F8-E8</f>
        <v>2172</v>
      </c>
      <c r="H8" s="11">
        <f>(F8/E8)*100</f>
        <v>106.7710801306831</v>
      </c>
    </row>
    <row r="9" spans="1:8" ht="47.25" customHeight="1">
      <c r="A9" s="9" t="s">
        <v>103</v>
      </c>
      <c r="B9" s="10">
        <v>1010</v>
      </c>
      <c r="C9" s="86">
        <f>SUM(C10:C14)</f>
        <v>-19724.099999999999</v>
      </c>
      <c r="D9" s="11">
        <f t="shared" ref="D9" si="0">SUM(D10:D14)</f>
        <v>-31137.3</v>
      </c>
      <c r="E9" s="11">
        <f t="shared" ref="E9:F9" si="1">SUM(E10:E14)</f>
        <v>-27247.4</v>
      </c>
      <c r="F9" s="11">
        <f t="shared" si="1"/>
        <v>-31137.3</v>
      </c>
      <c r="G9" s="11">
        <f t="shared" ref="G9:G43" si="2">F9-E9</f>
        <v>-3889.8999999999978</v>
      </c>
      <c r="H9" s="11">
        <f t="shared" ref="H9:H43" si="3">(F9/E9)*100</f>
        <v>114.2762245205047</v>
      </c>
    </row>
    <row r="10" spans="1:8" ht="30" customHeight="1">
      <c r="A10" s="1" t="s">
        <v>104</v>
      </c>
      <c r="B10" s="13">
        <v>1011</v>
      </c>
      <c r="C10" s="193">
        <v>-1394</v>
      </c>
      <c r="D10" s="14">
        <v>-8244.7999999999993</v>
      </c>
      <c r="E10" s="14">
        <v>-5831.3</v>
      </c>
      <c r="F10" s="14">
        <v>-8244.7999999999993</v>
      </c>
      <c r="G10" s="14">
        <f t="shared" si="2"/>
        <v>-2413.4999999999991</v>
      </c>
      <c r="H10" s="14">
        <f t="shared" si="3"/>
        <v>141.38871263697629</v>
      </c>
    </row>
    <row r="11" spans="1:8" ht="28.5" customHeight="1">
      <c r="A11" s="1" t="s">
        <v>2</v>
      </c>
      <c r="B11" s="13">
        <v>1012</v>
      </c>
      <c r="C11" s="193">
        <v>-14734.1</v>
      </c>
      <c r="D11" s="14">
        <v>-17576.8</v>
      </c>
      <c r="E11" s="14">
        <v>-15953.2</v>
      </c>
      <c r="F11" s="14">
        <v>-17576.8</v>
      </c>
      <c r="G11" s="14">
        <f t="shared" si="2"/>
        <v>-1623.5999999999985</v>
      </c>
      <c r="H11" s="14">
        <f t="shared" si="3"/>
        <v>110.17726851039289</v>
      </c>
    </row>
    <row r="12" spans="1:8" ht="29.25" customHeight="1">
      <c r="A12" s="1" t="s">
        <v>3</v>
      </c>
      <c r="B12" s="13">
        <v>1013</v>
      </c>
      <c r="C12" s="193">
        <v>-3170.5</v>
      </c>
      <c r="D12" s="14">
        <v>-3773.6</v>
      </c>
      <c r="E12" s="14">
        <v>-3455.5</v>
      </c>
      <c r="F12" s="14">
        <v>-3773.6</v>
      </c>
      <c r="G12" s="14">
        <f t="shared" si="2"/>
        <v>-318.09999999999991</v>
      </c>
      <c r="H12" s="14">
        <f t="shared" si="3"/>
        <v>109.20561423817104</v>
      </c>
    </row>
    <row r="13" spans="1:8" ht="29.25" customHeight="1">
      <c r="A13" s="1" t="s">
        <v>4</v>
      </c>
      <c r="B13" s="13">
        <v>1014</v>
      </c>
      <c r="C13" s="193">
        <v>-77.400000000000006</v>
      </c>
      <c r="D13" s="14">
        <v>-711.4</v>
      </c>
      <c r="E13" s="14">
        <v>-1419</v>
      </c>
      <c r="F13" s="14">
        <v>-711.4</v>
      </c>
      <c r="G13" s="14">
        <f t="shared" si="2"/>
        <v>707.6</v>
      </c>
      <c r="H13" s="14">
        <f t="shared" si="3"/>
        <v>50.133897110641293</v>
      </c>
    </row>
    <row r="14" spans="1:8" ht="30" customHeight="1">
      <c r="A14" s="1" t="s">
        <v>78</v>
      </c>
      <c r="B14" s="13">
        <v>1015</v>
      </c>
      <c r="C14" s="193">
        <v>-348.1</v>
      </c>
      <c r="D14" s="14">
        <v>-830.7</v>
      </c>
      <c r="E14" s="14">
        <v>-588.4</v>
      </c>
      <c r="F14" s="14">
        <v>-830.7</v>
      </c>
      <c r="G14" s="14">
        <f t="shared" si="2"/>
        <v>-242.30000000000007</v>
      </c>
      <c r="H14" s="14">
        <f t="shared" si="3"/>
        <v>141.17946974847044</v>
      </c>
    </row>
    <row r="15" spans="1:8" ht="28.5" customHeight="1">
      <c r="A15" s="9" t="s">
        <v>33</v>
      </c>
      <c r="B15" s="13">
        <v>1020</v>
      </c>
      <c r="C15" s="86">
        <f>SUM(C8:C9)</f>
        <v>9495.9000000000015</v>
      </c>
      <c r="D15" s="11">
        <f t="shared" ref="D15" si="4">SUM(D8:D9)</f>
        <v>3112.2999999999993</v>
      </c>
      <c r="E15" s="11">
        <f t="shared" ref="E15:F15" si="5">SUM(E8:E9)</f>
        <v>4830.1999999999971</v>
      </c>
      <c r="F15" s="11">
        <f t="shared" si="5"/>
        <v>3112.2999999999993</v>
      </c>
      <c r="G15" s="11">
        <f t="shared" si="2"/>
        <v>-1717.8999999999978</v>
      </c>
      <c r="H15" s="11">
        <f t="shared" si="3"/>
        <v>64.434184919879129</v>
      </c>
    </row>
    <row r="16" spans="1:8" ht="40.5" customHeight="1">
      <c r="A16" s="9" t="s">
        <v>126</v>
      </c>
      <c r="B16" s="10">
        <v>1020</v>
      </c>
      <c r="C16" s="86">
        <f>SUM(C17:C21)</f>
        <v>-2706.8999999999996</v>
      </c>
      <c r="D16" s="11">
        <f t="shared" ref="D16:F16" si="6">SUM(D17:D21)</f>
        <v>-2261.7999999999997</v>
      </c>
      <c r="E16" s="11">
        <f>SUM(E17:E21)</f>
        <v>-1907.8</v>
      </c>
      <c r="F16" s="11">
        <f t="shared" si="6"/>
        <v>-2261.7999999999997</v>
      </c>
      <c r="G16" s="11">
        <f t="shared" si="2"/>
        <v>-353.99999999999977</v>
      </c>
      <c r="H16" s="11">
        <f t="shared" si="3"/>
        <v>118.55540413041199</v>
      </c>
    </row>
    <row r="17" spans="1:8" ht="27.75" customHeight="1">
      <c r="A17" s="1" t="s">
        <v>104</v>
      </c>
      <c r="B17" s="13">
        <v>1021</v>
      </c>
      <c r="C17" s="193">
        <v>-41</v>
      </c>
      <c r="D17" s="14">
        <v>-48.1</v>
      </c>
      <c r="E17" s="14">
        <v>-32</v>
      </c>
      <c r="F17" s="14">
        <v>-48.1</v>
      </c>
      <c r="G17" s="14">
        <f t="shared" si="2"/>
        <v>-16.100000000000001</v>
      </c>
      <c r="H17" s="14">
        <f t="shared" si="3"/>
        <v>150.3125</v>
      </c>
    </row>
    <row r="18" spans="1:8" ht="27.75" customHeight="1">
      <c r="A18" s="1" t="s">
        <v>2</v>
      </c>
      <c r="B18" s="13">
        <v>1022</v>
      </c>
      <c r="C18" s="193">
        <v>-1353.6</v>
      </c>
      <c r="D18" s="14">
        <v>-1774</v>
      </c>
      <c r="E18" s="14">
        <v>-1479</v>
      </c>
      <c r="F18" s="14">
        <v>-1774</v>
      </c>
      <c r="G18" s="14">
        <f t="shared" si="2"/>
        <v>-295</v>
      </c>
      <c r="H18" s="14">
        <f t="shared" si="3"/>
        <v>119.94590939824205</v>
      </c>
    </row>
    <row r="19" spans="1:8" ht="27.75" customHeight="1">
      <c r="A19" s="1" t="s">
        <v>3</v>
      </c>
      <c r="B19" s="13">
        <v>1023</v>
      </c>
      <c r="C19" s="193">
        <v>-291.60000000000002</v>
      </c>
      <c r="D19" s="14">
        <v>-380.7</v>
      </c>
      <c r="E19" s="14">
        <v>-321</v>
      </c>
      <c r="F19" s="14">
        <v>-380.7</v>
      </c>
      <c r="G19" s="14">
        <f t="shared" si="2"/>
        <v>-59.699999999999989</v>
      </c>
      <c r="H19" s="14">
        <f t="shared" si="3"/>
        <v>118.5981308411215</v>
      </c>
    </row>
    <row r="20" spans="1:8" ht="27.75" customHeight="1">
      <c r="A20" s="1" t="s">
        <v>4</v>
      </c>
      <c r="B20" s="13">
        <v>1024</v>
      </c>
      <c r="C20" s="193">
        <v>-1020.7</v>
      </c>
      <c r="D20" s="14" t="s">
        <v>34</v>
      </c>
      <c r="E20" s="14" t="s">
        <v>34</v>
      </c>
      <c r="F20" s="14" t="s">
        <v>34</v>
      </c>
      <c r="G20" s="14"/>
      <c r="H20" s="14"/>
    </row>
    <row r="21" spans="1:8" ht="27.75" customHeight="1">
      <c r="A21" s="1" t="s">
        <v>105</v>
      </c>
      <c r="B21" s="13">
        <v>1025</v>
      </c>
      <c r="C21" s="193">
        <v>0</v>
      </c>
      <c r="D21" s="14">
        <v>-59</v>
      </c>
      <c r="E21" s="14">
        <v>-75.8</v>
      </c>
      <c r="F21" s="14">
        <v>-59</v>
      </c>
      <c r="G21" s="14">
        <f t="shared" si="2"/>
        <v>16.799999999999997</v>
      </c>
      <c r="H21" s="14">
        <f t="shared" si="3"/>
        <v>77.836411609498683</v>
      </c>
    </row>
    <row r="22" spans="1:8" ht="35.25" customHeight="1">
      <c r="A22" s="9" t="s">
        <v>52</v>
      </c>
      <c r="B22" s="10">
        <v>1040</v>
      </c>
      <c r="C22" s="86">
        <f>SUM(C23:C24)</f>
        <v>3501.9</v>
      </c>
      <c r="D22" s="11">
        <f>SUM(D23:D24)</f>
        <v>13369.3</v>
      </c>
      <c r="E22" s="11">
        <f>SUM(E23:E24)</f>
        <v>6556.2</v>
      </c>
      <c r="F22" s="11">
        <f>SUM(F23:F24)</f>
        <v>13369.3</v>
      </c>
      <c r="G22" s="11">
        <f t="shared" si="2"/>
        <v>6813.0999999999995</v>
      </c>
      <c r="H22" s="11">
        <f t="shared" si="3"/>
        <v>203.91842835789024</v>
      </c>
    </row>
    <row r="23" spans="1:8" ht="30.75" customHeight="1">
      <c r="A23" s="1" t="s">
        <v>53</v>
      </c>
      <c r="B23" s="13">
        <v>1041</v>
      </c>
      <c r="C23" s="193"/>
      <c r="D23" s="14"/>
      <c r="E23" s="14"/>
      <c r="F23" s="14"/>
      <c r="G23" s="14">
        <f t="shared" si="2"/>
        <v>0</v>
      </c>
      <c r="H23" s="14"/>
    </row>
    <row r="24" spans="1:8" ht="27.75" customHeight="1">
      <c r="A24" s="1" t="s">
        <v>54</v>
      </c>
      <c r="B24" s="13">
        <v>1042</v>
      </c>
      <c r="C24" s="193">
        <v>3501.9</v>
      </c>
      <c r="D24" s="14">
        <v>13369.3</v>
      </c>
      <c r="E24" s="14">
        <v>6556.2</v>
      </c>
      <c r="F24" s="14">
        <v>13369.3</v>
      </c>
      <c r="G24" s="14">
        <f t="shared" si="2"/>
        <v>6813.0999999999995</v>
      </c>
      <c r="H24" s="14">
        <f t="shared" si="3"/>
        <v>203.91842835789024</v>
      </c>
    </row>
    <row r="25" spans="1:8" ht="47.25" customHeight="1">
      <c r="A25" s="9" t="s">
        <v>14</v>
      </c>
      <c r="B25" s="10">
        <v>1030</v>
      </c>
      <c r="C25" s="86">
        <f>SUM(C26:C30)</f>
        <v>-8785.5</v>
      </c>
      <c r="D25" s="11">
        <f t="shared" ref="D25" si="7">SUM(D26:D30)</f>
        <v>-13841.3</v>
      </c>
      <c r="E25" s="11">
        <f t="shared" ref="E25:F25" si="8">SUM(E26:E30)</f>
        <v>-10049</v>
      </c>
      <c r="F25" s="11">
        <f t="shared" si="8"/>
        <v>-13841.3</v>
      </c>
      <c r="G25" s="11">
        <f t="shared" si="2"/>
        <v>-3792.2999999999993</v>
      </c>
      <c r="H25" s="11">
        <f t="shared" si="3"/>
        <v>137.73808339138222</v>
      </c>
    </row>
    <row r="26" spans="1:8" ht="27.75" customHeight="1">
      <c r="A26" s="1" t="s">
        <v>104</v>
      </c>
      <c r="B26" s="13">
        <v>1031</v>
      </c>
      <c r="C26" s="193">
        <v>-2644.6</v>
      </c>
      <c r="D26" s="14">
        <v>-6100.2</v>
      </c>
      <c r="E26" s="14">
        <v>-2826.7</v>
      </c>
      <c r="F26" s="14">
        <v>-6100.2</v>
      </c>
      <c r="G26" s="14">
        <f t="shared" si="2"/>
        <v>-3273.5</v>
      </c>
      <c r="H26" s="14">
        <f t="shared" si="3"/>
        <v>215.80641737715359</v>
      </c>
    </row>
    <row r="27" spans="1:8" ht="27.75" customHeight="1">
      <c r="A27" s="1" t="s">
        <v>2</v>
      </c>
      <c r="B27" s="13">
        <v>1032</v>
      </c>
      <c r="C27" s="193">
        <v>-3975.4</v>
      </c>
      <c r="D27" s="14">
        <v>-5497.9</v>
      </c>
      <c r="E27" s="14">
        <v>-4890</v>
      </c>
      <c r="F27" s="14">
        <v>-5497.9</v>
      </c>
      <c r="G27" s="14">
        <f t="shared" si="2"/>
        <v>-607.89999999999964</v>
      </c>
      <c r="H27" s="14">
        <f t="shared" si="3"/>
        <v>112.43149284253577</v>
      </c>
    </row>
    <row r="28" spans="1:8" ht="27.75" customHeight="1">
      <c r="A28" s="1" t="s">
        <v>3</v>
      </c>
      <c r="B28" s="13">
        <v>1033</v>
      </c>
      <c r="C28" s="193">
        <v>-855.7</v>
      </c>
      <c r="D28" s="14">
        <v>-1181.3</v>
      </c>
      <c r="E28" s="14">
        <v>-1061.0999999999999</v>
      </c>
      <c r="F28" s="14">
        <v>-1181.3</v>
      </c>
      <c r="G28" s="14">
        <f t="shared" si="2"/>
        <v>-120.20000000000005</v>
      </c>
      <c r="H28" s="14">
        <f t="shared" si="3"/>
        <v>111.32786730751107</v>
      </c>
    </row>
    <row r="29" spans="1:8" ht="27.75" customHeight="1">
      <c r="A29" s="1" t="s">
        <v>4</v>
      </c>
      <c r="B29" s="13">
        <v>1034</v>
      </c>
      <c r="C29" s="193" t="s">
        <v>34</v>
      </c>
      <c r="D29" s="14">
        <v>-14.7</v>
      </c>
      <c r="E29" s="14"/>
      <c r="F29" s="14">
        <v>-14.7</v>
      </c>
      <c r="G29" s="14">
        <f t="shared" si="2"/>
        <v>-14.7</v>
      </c>
      <c r="H29" s="14"/>
    </row>
    <row r="30" spans="1:8" ht="27.75" customHeight="1">
      <c r="A30" s="1" t="s">
        <v>106</v>
      </c>
      <c r="B30" s="13">
        <v>1035</v>
      </c>
      <c r="C30" s="193">
        <v>-1309.8</v>
      </c>
      <c r="D30" s="14">
        <v>-1047.2</v>
      </c>
      <c r="E30" s="14">
        <v>-1271.2</v>
      </c>
      <c r="F30" s="14">
        <v>-1047.2</v>
      </c>
      <c r="G30" s="14">
        <f t="shared" si="2"/>
        <v>224</v>
      </c>
      <c r="H30" s="14">
        <f t="shared" si="3"/>
        <v>82.378854625550659</v>
      </c>
    </row>
    <row r="31" spans="1:8" ht="47.25" customHeight="1">
      <c r="A31" s="9" t="s">
        <v>1</v>
      </c>
      <c r="B31" s="13">
        <v>1100</v>
      </c>
      <c r="C31" s="86">
        <f>SUM(C15,C16,C22,C25)</f>
        <v>1505.4000000000015</v>
      </c>
      <c r="D31" s="11">
        <f>SUM(D15,D16,D22,D25)</f>
        <v>378.5</v>
      </c>
      <c r="E31" s="11">
        <f t="shared" ref="E31" si="9">SUM(E15,E16,E22,E25)</f>
        <v>-570.40000000000327</v>
      </c>
      <c r="F31" s="11">
        <f>SUM(F15,F16,F22,F25)</f>
        <v>378.5</v>
      </c>
      <c r="G31" s="11">
        <f t="shared" si="2"/>
        <v>948.90000000000327</v>
      </c>
      <c r="H31" s="11">
        <f t="shared" si="3"/>
        <v>-66.356942496493303</v>
      </c>
    </row>
    <row r="32" spans="1:8" ht="27.75" customHeight="1">
      <c r="A32" s="9" t="s">
        <v>170</v>
      </c>
      <c r="B32" s="10">
        <v>1130</v>
      </c>
      <c r="C32" s="86">
        <v>299.39999999999998</v>
      </c>
      <c r="D32" s="11">
        <v>184.7</v>
      </c>
      <c r="E32" s="11">
        <v>320</v>
      </c>
      <c r="F32" s="11">
        <v>184.7</v>
      </c>
      <c r="G32" s="11">
        <f t="shared" si="2"/>
        <v>-135.30000000000001</v>
      </c>
      <c r="H32" s="11">
        <f t="shared" si="3"/>
        <v>57.71875</v>
      </c>
    </row>
    <row r="33" spans="1:8" ht="27.75" customHeight="1">
      <c r="A33" s="15" t="s">
        <v>171</v>
      </c>
      <c r="B33" s="10">
        <v>1140</v>
      </c>
      <c r="C33" s="193" t="s">
        <v>34</v>
      </c>
      <c r="D33" s="14" t="s">
        <v>34</v>
      </c>
      <c r="E33" s="14" t="s">
        <v>34</v>
      </c>
      <c r="F33" s="14" t="s">
        <v>34</v>
      </c>
      <c r="G33" s="11"/>
      <c r="H33" s="11"/>
    </row>
    <row r="34" spans="1:8" ht="27.75" customHeight="1">
      <c r="A34" s="9" t="s">
        <v>172</v>
      </c>
      <c r="B34" s="10">
        <v>1150</v>
      </c>
      <c r="C34" s="86">
        <v>594.4</v>
      </c>
      <c r="D34" s="11">
        <v>228.1</v>
      </c>
      <c r="E34" s="11">
        <v>870</v>
      </c>
      <c r="F34" s="11">
        <v>228.1</v>
      </c>
      <c r="G34" s="11">
        <f t="shared" si="2"/>
        <v>-641.9</v>
      </c>
      <c r="H34" s="11">
        <f t="shared" si="3"/>
        <v>26.218390804597703</v>
      </c>
    </row>
    <row r="35" spans="1:8" ht="27.75" customHeight="1">
      <c r="A35" s="9" t="s">
        <v>173</v>
      </c>
      <c r="B35" s="10">
        <v>1160</v>
      </c>
      <c r="C35" s="193" t="s">
        <v>34</v>
      </c>
      <c r="D35" s="14" t="s">
        <v>34</v>
      </c>
      <c r="E35" s="14" t="s">
        <v>34</v>
      </c>
      <c r="F35" s="14" t="s">
        <v>34</v>
      </c>
      <c r="G35" s="11"/>
      <c r="H35" s="11"/>
    </row>
    <row r="36" spans="1:8" ht="28.5" customHeight="1">
      <c r="A36" s="9" t="s">
        <v>18</v>
      </c>
      <c r="B36" s="10">
        <v>1170</v>
      </c>
      <c r="C36" s="86">
        <f>SUM(C31, C32:C35)</f>
        <v>2399.2000000000016</v>
      </c>
      <c r="D36" s="11">
        <f>SUM(D31, D32:D35)</f>
        <v>791.30000000000007</v>
      </c>
      <c r="E36" s="11">
        <f>SUM(E31, E32:E35)</f>
        <v>619.59999999999673</v>
      </c>
      <c r="F36" s="11">
        <f>SUM(F31, F32:F35)</f>
        <v>791.30000000000007</v>
      </c>
      <c r="G36" s="11">
        <f t="shared" si="2"/>
        <v>171.70000000000334</v>
      </c>
      <c r="H36" s="11">
        <f t="shared" si="3"/>
        <v>127.71142672692129</v>
      </c>
    </row>
    <row r="37" spans="1:8" ht="27.75" customHeight="1">
      <c r="A37" s="15" t="s">
        <v>36</v>
      </c>
      <c r="B37" s="13">
        <v>1180</v>
      </c>
      <c r="C37" s="193" t="s">
        <v>34</v>
      </c>
      <c r="D37" s="14" t="s">
        <v>34</v>
      </c>
      <c r="E37" s="14" t="s">
        <v>34</v>
      </c>
      <c r="F37" s="14" t="s">
        <v>34</v>
      </c>
      <c r="G37" s="14"/>
      <c r="H37" s="14"/>
    </row>
    <row r="38" spans="1:8" ht="27" customHeight="1">
      <c r="A38" s="15" t="s">
        <v>37</v>
      </c>
      <c r="B38" s="13">
        <v>1181</v>
      </c>
      <c r="C38" s="193"/>
      <c r="D38" s="14"/>
      <c r="E38" s="14"/>
      <c r="F38" s="14"/>
      <c r="G38" s="11"/>
      <c r="H38" s="14"/>
    </row>
    <row r="39" spans="1:8" ht="28.5" customHeight="1">
      <c r="A39" s="9" t="s">
        <v>74</v>
      </c>
      <c r="B39" s="13">
        <v>1200</v>
      </c>
      <c r="C39" s="86">
        <f>SUM(C36:C38)</f>
        <v>2399.2000000000016</v>
      </c>
      <c r="D39" s="11">
        <f>SUM(D36:D38)</f>
        <v>791.30000000000007</v>
      </c>
      <c r="E39" s="11">
        <f>SUM(E36:E38)</f>
        <v>619.59999999999673</v>
      </c>
      <c r="F39" s="11">
        <f>SUM(F36:F38)</f>
        <v>791.30000000000007</v>
      </c>
      <c r="G39" s="11">
        <f t="shared" si="2"/>
        <v>171.70000000000334</v>
      </c>
      <c r="H39" s="11">
        <f t="shared" si="3"/>
        <v>127.71142672692129</v>
      </c>
    </row>
    <row r="40" spans="1:8" ht="35.25" customHeight="1">
      <c r="A40" s="15" t="s">
        <v>75</v>
      </c>
      <c r="B40" s="13">
        <v>1201</v>
      </c>
      <c r="C40" s="193"/>
      <c r="D40" s="14"/>
      <c r="E40" s="14"/>
      <c r="F40" s="14"/>
      <c r="G40" s="14"/>
      <c r="H40" s="14"/>
    </row>
    <row r="41" spans="1:8" ht="33" customHeight="1">
      <c r="A41" s="15" t="s">
        <v>76</v>
      </c>
      <c r="B41" s="13">
        <v>1202</v>
      </c>
      <c r="C41" s="193" t="s">
        <v>34</v>
      </c>
      <c r="D41" s="14" t="s">
        <v>34</v>
      </c>
      <c r="E41" s="14" t="s">
        <v>34</v>
      </c>
      <c r="F41" s="14" t="s">
        <v>34</v>
      </c>
      <c r="G41" s="14"/>
      <c r="H41" s="14"/>
    </row>
    <row r="42" spans="1:8" ht="33" customHeight="1">
      <c r="A42" s="9" t="s">
        <v>164</v>
      </c>
      <c r="B42" s="10">
        <v>1210</v>
      </c>
      <c r="C42" s="86">
        <f>SUM(C8,C22,C32,C34,C38)</f>
        <v>33615.700000000004</v>
      </c>
      <c r="D42" s="11">
        <f t="shared" ref="D42" si="10">SUM(D8,D22,D32,D34,D38)</f>
        <v>48031.69999999999</v>
      </c>
      <c r="E42" s="11">
        <f t="shared" ref="E42:F42" si="11">SUM(E8,E22,E32,E34,E38)</f>
        <v>39823.799999999996</v>
      </c>
      <c r="F42" s="11">
        <f t="shared" si="11"/>
        <v>48031.69999999999</v>
      </c>
      <c r="G42" s="11">
        <f t="shared" si="2"/>
        <v>8207.8999999999942</v>
      </c>
      <c r="H42" s="11">
        <f t="shared" si="3"/>
        <v>120.61053942617228</v>
      </c>
    </row>
    <row r="43" spans="1:8" ht="33" customHeight="1" thickBot="1">
      <c r="A43" s="9" t="s">
        <v>165</v>
      </c>
      <c r="B43" s="10">
        <v>1220</v>
      </c>
      <c r="C43" s="263">
        <f>SUM(C9,C16,C25,C33,C35,C37)</f>
        <v>-31216.5</v>
      </c>
      <c r="D43" s="11">
        <f t="shared" ref="D43" si="12">SUM(D9,D16,D25,D33,D35,D37)</f>
        <v>-47240.399999999994</v>
      </c>
      <c r="E43" s="11">
        <f t="shared" ref="E43:F43" si="13">SUM(E9,E16,E25,E33,E35,E37)</f>
        <v>-39204.199999999997</v>
      </c>
      <c r="F43" s="11">
        <f t="shared" si="13"/>
        <v>-47240.399999999994</v>
      </c>
      <c r="G43" s="11">
        <f t="shared" si="2"/>
        <v>-8036.1999999999971</v>
      </c>
      <c r="H43" s="12">
        <f t="shared" si="3"/>
        <v>120.49831395615776</v>
      </c>
    </row>
    <row r="44" spans="1:8" s="29" customFormat="1" ht="30.75" customHeight="1">
      <c r="A44" s="23" t="s">
        <v>27</v>
      </c>
      <c r="B44" s="19"/>
      <c r="C44" s="11"/>
      <c r="D44" s="11"/>
      <c r="E44" s="11"/>
      <c r="F44" s="11"/>
      <c r="G44" s="28"/>
      <c r="H44" s="28"/>
    </row>
    <row r="45" spans="1:8" s="29" customFormat="1" ht="30.75" customHeight="1">
      <c r="A45" s="1" t="s">
        <v>86</v>
      </c>
      <c r="B45" s="20">
        <v>9000</v>
      </c>
      <c r="C45" s="193">
        <v>4079.6</v>
      </c>
      <c r="D45" s="14">
        <v>14393.1</v>
      </c>
      <c r="E45" s="14">
        <v>8690</v>
      </c>
      <c r="F45" s="14">
        <v>14393.1</v>
      </c>
      <c r="G45" s="22">
        <f t="shared" ref="G45:G50" si="14">F45-E45</f>
        <v>5703.1</v>
      </c>
      <c r="H45" s="22">
        <f t="shared" ref="H45:H50" si="15">(F45/E45)*100</f>
        <v>165.6283084004603</v>
      </c>
    </row>
    <row r="46" spans="1:8" s="29" customFormat="1" ht="30.75" customHeight="1">
      <c r="A46" s="1" t="s">
        <v>2</v>
      </c>
      <c r="B46" s="20">
        <v>9010</v>
      </c>
      <c r="C46" s="193">
        <v>20063.099999999999</v>
      </c>
      <c r="D46" s="14">
        <v>24848.7</v>
      </c>
      <c r="E46" s="14">
        <v>22322.2</v>
      </c>
      <c r="F46" s="14">
        <v>24848.7</v>
      </c>
      <c r="G46" s="22">
        <f t="shared" si="14"/>
        <v>2526.5</v>
      </c>
      <c r="H46" s="22">
        <f t="shared" si="15"/>
        <v>111.31832883855535</v>
      </c>
    </row>
    <row r="47" spans="1:8" s="29" customFormat="1" ht="30.75" customHeight="1">
      <c r="A47" s="1" t="s">
        <v>3</v>
      </c>
      <c r="B47" s="20">
        <v>9020</v>
      </c>
      <c r="C47" s="193">
        <v>4317.8</v>
      </c>
      <c r="D47" s="14">
        <v>5335.6</v>
      </c>
      <c r="E47" s="14">
        <v>4837.6000000000004</v>
      </c>
      <c r="F47" s="14">
        <v>5335.6</v>
      </c>
      <c r="G47" s="22">
        <f t="shared" si="14"/>
        <v>498</v>
      </c>
      <c r="H47" s="22">
        <f t="shared" si="15"/>
        <v>110.29436084008599</v>
      </c>
    </row>
    <row r="48" spans="1:8" s="29" customFormat="1" ht="30.75" customHeight="1">
      <c r="A48" s="1" t="s">
        <v>4</v>
      </c>
      <c r="B48" s="20">
        <v>9030</v>
      </c>
      <c r="C48" s="193">
        <v>1098.0999999999999</v>
      </c>
      <c r="D48" s="14">
        <v>726.1</v>
      </c>
      <c r="E48" s="14">
        <v>1419</v>
      </c>
      <c r="F48" s="14">
        <v>726.1</v>
      </c>
      <c r="G48" s="22">
        <f t="shared" si="14"/>
        <v>-692.9</v>
      </c>
      <c r="H48" s="22">
        <f t="shared" si="15"/>
        <v>51.169837914023965</v>
      </c>
    </row>
    <row r="49" spans="1:8" s="29" customFormat="1" ht="30.75" customHeight="1">
      <c r="A49" s="1" t="s">
        <v>6</v>
      </c>
      <c r="B49" s="20">
        <v>9040</v>
      </c>
      <c r="C49" s="193">
        <v>1657.9</v>
      </c>
      <c r="D49" s="14">
        <v>1936.9</v>
      </c>
      <c r="E49" s="14">
        <v>1935.4</v>
      </c>
      <c r="F49" s="14">
        <v>1936.9</v>
      </c>
      <c r="G49" s="22">
        <f t="shared" si="14"/>
        <v>1.5</v>
      </c>
      <c r="H49" s="22">
        <f t="shared" si="15"/>
        <v>100.07750335847886</v>
      </c>
    </row>
    <row r="50" spans="1:8" s="29" customFormat="1" ht="30.75" customHeight="1" thickBot="1">
      <c r="A50" s="23" t="s">
        <v>11</v>
      </c>
      <c r="B50" s="19">
        <v>9050</v>
      </c>
      <c r="C50" s="263">
        <f>SUM(C45:C49)</f>
        <v>31216.499999999996</v>
      </c>
      <c r="D50" s="11">
        <f t="shared" ref="D50" si="16">SUM(D45:D49)</f>
        <v>47240.4</v>
      </c>
      <c r="E50" s="11">
        <f t="shared" ref="E50:F50" si="17">SUM(E45:E49)</f>
        <v>39204.200000000004</v>
      </c>
      <c r="F50" s="11">
        <f t="shared" si="17"/>
        <v>47240.4</v>
      </c>
      <c r="G50" s="21">
        <f t="shared" si="14"/>
        <v>8036.1999999999971</v>
      </c>
      <c r="H50" s="21">
        <f t="shared" si="15"/>
        <v>120.49831395615776</v>
      </c>
    </row>
    <row r="51" spans="1:8" ht="24.95" customHeight="1">
      <c r="A51" s="358" t="s">
        <v>139</v>
      </c>
      <c r="B51" s="358"/>
      <c r="C51" s="358"/>
      <c r="D51" s="358"/>
      <c r="E51" s="358"/>
      <c r="F51" s="358"/>
      <c r="G51" s="358"/>
      <c r="H51" s="358"/>
    </row>
    <row r="52" spans="1:8" ht="69" customHeight="1">
      <c r="A52" s="16" t="s">
        <v>178</v>
      </c>
      <c r="B52" s="10">
        <v>2110</v>
      </c>
      <c r="C52" s="86">
        <f>SUM(C53:C56)</f>
        <v>-302.2</v>
      </c>
      <c r="D52" s="11">
        <f>SUM(D53:D56)</f>
        <v>-374.9</v>
      </c>
      <c r="E52" s="11">
        <f t="shared" ref="E52" si="18">SUM(E53:E56)</f>
        <v>-336.39999999999992</v>
      </c>
      <c r="F52" s="11">
        <f>SUM(F53:F56)</f>
        <v>-374.9</v>
      </c>
      <c r="G52" s="11">
        <f>F52-E52</f>
        <v>-38.500000000000057</v>
      </c>
      <c r="H52" s="11">
        <f>(F52/E52)*100</f>
        <v>111.44470868014271</v>
      </c>
    </row>
    <row r="53" spans="1:8" s="215" customFormat="1" ht="44.25" customHeight="1">
      <c r="A53" s="1" t="s">
        <v>83</v>
      </c>
      <c r="B53" s="13">
        <v>2111</v>
      </c>
      <c r="C53" s="193">
        <v>-1</v>
      </c>
      <c r="D53" s="14">
        <v>-433.5</v>
      </c>
      <c r="E53" s="14">
        <v>-580.79999999999995</v>
      </c>
      <c r="F53" s="14">
        <v>-433.5</v>
      </c>
      <c r="G53" s="14">
        <f t="shared" ref="G53:G55" si="19">F53-E53</f>
        <v>147.29999999999995</v>
      </c>
      <c r="H53" s="14">
        <f>(F53/E53)*100</f>
        <v>74.638429752066131</v>
      </c>
    </row>
    <row r="54" spans="1:8" s="215" customFormat="1" ht="45.75" customHeight="1">
      <c r="A54" s="17" t="s">
        <v>84</v>
      </c>
      <c r="B54" s="13">
        <v>2112</v>
      </c>
      <c r="C54" s="193" t="s">
        <v>34</v>
      </c>
      <c r="D54" s="14">
        <v>434</v>
      </c>
      <c r="E54" s="14">
        <v>579.20000000000005</v>
      </c>
      <c r="F54" s="14">
        <v>434</v>
      </c>
      <c r="G54" s="14">
        <f t="shared" si="19"/>
        <v>-145.20000000000005</v>
      </c>
      <c r="H54" s="14">
        <f t="shared" ref="H54:H68" si="20">(F54/E54)*100</f>
        <v>74.930939226519328</v>
      </c>
    </row>
    <row r="55" spans="1:8" ht="28.5" customHeight="1">
      <c r="A55" s="1" t="s">
        <v>90</v>
      </c>
      <c r="B55" s="13">
        <v>2113</v>
      </c>
      <c r="C55" s="193">
        <v>-301.2</v>
      </c>
      <c r="D55" s="14">
        <v>-375.4</v>
      </c>
      <c r="E55" s="14">
        <v>-334.8</v>
      </c>
      <c r="F55" s="14">
        <v>-375.4</v>
      </c>
      <c r="G55" s="14">
        <f t="shared" si="19"/>
        <v>-40.599999999999966</v>
      </c>
      <c r="H55" s="14">
        <f t="shared" si="20"/>
        <v>112.12664277180404</v>
      </c>
    </row>
    <row r="56" spans="1:8" ht="33" customHeight="1">
      <c r="A56" s="1" t="s">
        <v>69</v>
      </c>
      <c r="B56" s="13">
        <v>2114</v>
      </c>
      <c r="C56" s="193" t="s">
        <v>34</v>
      </c>
      <c r="D56" s="14" t="s">
        <v>34</v>
      </c>
      <c r="E56" s="14" t="s">
        <v>34</v>
      </c>
      <c r="F56" s="14" t="s">
        <v>34</v>
      </c>
      <c r="G56" s="14"/>
      <c r="H56" s="14"/>
    </row>
    <row r="57" spans="1:8" ht="43.5" customHeight="1">
      <c r="A57" s="18" t="s">
        <v>88</v>
      </c>
      <c r="B57" s="19">
        <v>2120</v>
      </c>
      <c r="C57" s="86">
        <f>SUM(C58:C63)</f>
        <v>-3605.9</v>
      </c>
      <c r="D57" s="11">
        <f>SUM(D58:D63)</f>
        <v>-4485.7</v>
      </c>
      <c r="E57" s="11">
        <f>SUM(E58:E63)</f>
        <v>-4017.9</v>
      </c>
      <c r="F57" s="11">
        <f>SUM(F58:F63)</f>
        <v>-4485.7</v>
      </c>
      <c r="G57" s="11">
        <f>F57-E57</f>
        <v>-467.79999999999973</v>
      </c>
      <c r="H57" s="11">
        <f t="shared" si="20"/>
        <v>111.64289803130988</v>
      </c>
    </row>
    <row r="58" spans="1:8" ht="36" customHeight="1">
      <c r="A58" s="17" t="s">
        <v>60</v>
      </c>
      <c r="B58" s="20">
        <v>2121</v>
      </c>
      <c r="C58" s="193" t="s">
        <v>34</v>
      </c>
      <c r="D58" s="14" t="s">
        <v>34</v>
      </c>
      <c r="E58" s="14" t="s">
        <v>34</v>
      </c>
      <c r="F58" s="14" t="s">
        <v>34</v>
      </c>
      <c r="G58" s="14"/>
      <c r="H58" s="14"/>
    </row>
    <row r="59" spans="1:8" ht="33.75" customHeight="1">
      <c r="A59" s="1" t="s">
        <v>16</v>
      </c>
      <c r="B59" s="20">
        <v>2122</v>
      </c>
      <c r="C59" s="193">
        <v>-3605.9</v>
      </c>
      <c r="D59" s="14">
        <v>-4485.7</v>
      </c>
      <c r="E59" s="14">
        <v>-4017.9</v>
      </c>
      <c r="F59" s="14">
        <v>-4485.7</v>
      </c>
      <c r="G59" s="14">
        <f>F59-E59</f>
        <v>-467.79999999999973</v>
      </c>
      <c r="H59" s="14">
        <f t="shared" si="20"/>
        <v>111.64289803130988</v>
      </c>
    </row>
    <row r="60" spans="1:8" ht="31.5" customHeight="1">
      <c r="A60" s="1" t="s">
        <v>72</v>
      </c>
      <c r="B60" s="20">
        <v>2123</v>
      </c>
      <c r="C60" s="193" t="s">
        <v>34</v>
      </c>
      <c r="D60" s="14" t="s">
        <v>34</v>
      </c>
      <c r="E60" s="14" t="s">
        <v>34</v>
      </c>
      <c r="F60" s="14" t="s">
        <v>34</v>
      </c>
      <c r="G60" s="14"/>
      <c r="H60" s="14"/>
    </row>
    <row r="61" spans="1:8" ht="31.5" customHeight="1">
      <c r="A61" s="1" t="s">
        <v>73</v>
      </c>
      <c r="B61" s="20">
        <v>2124</v>
      </c>
      <c r="C61" s="193" t="s">
        <v>34</v>
      </c>
      <c r="D61" s="14" t="s">
        <v>34</v>
      </c>
      <c r="E61" s="14" t="s">
        <v>34</v>
      </c>
      <c r="F61" s="14" t="s">
        <v>34</v>
      </c>
      <c r="G61" s="14"/>
      <c r="H61" s="14"/>
    </row>
    <row r="62" spans="1:8" ht="96.75" customHeight="1">
      <c r="A62" s="1" t="s">
        <v>166</v>
      </c>
      <c r="B62" s="20">
        <v>2125</v>
      </c>
      <c r="C62" s="193" t="s">
        <v>34</v>
      </c>
      <c r="D62" s="14" t="s">
        <v>34</v>
      </c>
      <c r="E62" s="14" t="s">
        <v>34</v>
      </c>
      <c r="F62" s="14" t="s">
        <v>34</v>
      </c>
      <c r="G62" s="14"/>
      <c r="H62" s="14"/>
    </row>
    <row r="63" spans="1:8" ht="31.5" customHeight="1">
      <c r="A63" s="1" t="s">
        <v>69</v>
      </c>
      <c r="B63" s="20">
        <v>2126</v>
      </c>
      <c r="C63" s="193" t="s">
        <v>34</v>
      </c>
      <c r="D63" s="14" t="s">
        <v>34</v>
      </c>
      <c r="E63" s="14" t="s">
        <v>34</v>
      </c>
      <c r="F63" s="14" t="s">
        <v>34</v>
      </c>
      <c r="G63" s="14"/>
      <c r="H63" s="14"/>
    </row>
    <row r="64" spans="1:8" ht="48" customHeight="1">
      <c r="A64" s="16" t="s">
        <v>89</v>
      </c>
      <c r="B64" s="19">
        <v>2130</v>
      </c>
      <c r="C64" s="86">
        <f>SUM(C65:C67)</f>
        <v>-4489.3</v>
      </c>
      <c r="D64" s="11">
        <f t="shared" ref="D64" si="21">SUM(D65:D67)</f>
        <v>-5545.7</v>
      </c>
      <c r="E64" s="11">
        <f t="shared" ref="E64:F64" si="22">SUM(E65:E67)</f>
        <v>-5029.3</v>
      </c>
      <c r="F64" s="11">
        <f t="shared" si="22"/>
        <v>-5545.7</v>
      </c>
      <c r="G64" s="11">
        <f>F64-E64</f>
        <v>-516.39999999999964</v>
      </c>
      <c r="H64" s="11">
        <f t="shared" si="20"/>
        <v>110.26783051319269</v>
      </c>
    </row>
    <row r="65" spans="1:8" ht="33" customHeight="1">
      <c r="A65" s="301" t="s">
        <v>70</v>
      </c>
      <c r="B65" s="298">
        <v>2131</v>
      </c>
      <c r="C65" s="187" t="s">
        <v>34</v>
      </c>
      <c r="D65" s="302" t="s">
        <v>34</v>
      </c>
      <c r="E65" s="302" t="s">
        <v>34</v>
      </c>
      <c r="F65" s="302" t="s">
        <v>34</v>
      </c>
      <c r="G65" s="302"/>
      <c r="H65" s="302"/>
    </row>
    <row r="66" spans="1:8" ht="44.25" customHeight="1">
      <c r="A66" s="301" t="s">
        <v>71</v>
      </c>
      <c r="B66" s="298">
        <v>2132</v>
      </c>
      <c r="C66" s="187">
        <v>-4317.8</v>
      </c>
      <c r="D66" s="302">
        <v>-5335.5</v>
      </c>
      <c r="E66" s="302">
        <v>-4837.6000000000004</v>
      </c>
      <c r="F66" s="302">
        <v>-5335.5</v>
      </c>
      <c r="G66" s="302">
        <f>F66-E66</f>
        <v>-497.89999999999964</v>
      </c>
      <c r="H66" s="302">
        <f t="shared" si="20"/>
        <v>110.29229369935504</v>
      </c>
    </row>
    <row r="67" spans="1:8" ht="39.75" customHeight="1">
      <c r="A67" s="301" t="s">
        <v>439</v>
      </c>
      <c r="B67" s="298">
        <v>2133</v>
      </c>
      <c r="C67" s="187">
        <v>-171.5</v>
      </c>
      <c r="D67" s="302">
        <v>-210.2</v>
      </c>
      <c r="E67" s="302">
        <v>-191.7</v>
      </c>
      <c r="F67" s="302">
        <v>-210.2</v>
      </c>
      <c r="G67" s="302">
        <f t="shared" ref="G67:G68" si="23">F67-E67</f>
        <v>-18.5</v>
      </c>
      <c r="H67" s="302">
        <f t="shared" si="20"/>
        <v>109.65049556598852</v>
      </c>
    </row>
    <row r="68" spans="1:8" ht="30.75" customHeight="1" thickBot="1">
      <c r="A68" s="303" t="s">
        <v>85</v>
      </c>
      <c r="B68" s="304">
        <v>2200</v>
      </c>
      <c r="C68" s="305">
        <f>SUM(C52+C57+C64)</f>
        <v>-8397.4</v>
      </c>
      <c r="D68" s="306">
        <f>SUM(D52+D57+D64)</f>
        <v>-10406.299999999999</v>
      </c>
      <c r="E68" s="306">
        <f>SUM(E52+E57+E64)</f>
        <v>-9383.6</v>
      </c>
      <c r="F68" s="306">
        <f>SUM(F52+F57+F64)</f>
        <v>-10406.299999999999</v>
      </c>
      <c r="G68" s="306">
        <f t="shared" si="23"/>
        <v>-1022.6999999999989</v>
      </c>
      <c r="H68" s="306">
        <f t="shared" si="20"/>
        <v>110.89880216548018</v>
      </c>
    </row>
    <row r="69" spans="1:8" ht="24.95" hidden="1" customHeight="1">
      <c r="A69" s="356" t="s">
        <v>140</v>
      </c>
      <c r="B69" s="357"/>
      <c r="C69" s="356"/>
      <c r="D69" s="356"/>
      <c r="E69" s="356"/>
      <c r="F69" s="356"/>
      <c r="G69" s="356"/>
      <c r="H69" s="356"/>
    </row>
    <row r="70" spans="1:8" ht="46.5" hidden="1" customHeight="1">
      <c r="A70" s="307" t="s">
        <v>20</v>
      </c>
      <c r="B70" s="304"/>
      <c r="C70" s="308"/>
      <c r="D70" s="308"/>
      <c r="E70" s="308"/>
      <c r="F70" s="308"/>
      <c r="G70" s="308"/>
      <c r="H70" s="308"/>
    </row>
    <row r="71" spans="1:8" ht="42.75" hidden="1" customHeight="1">
      <c r="A71" s="309" t="s">
        <v>55</v>
      </c>
      <c r="B71" s="310">
        <v>3000</v>
      </c>
      <c r="C71" s="308">
        <f>SUM(C72:C75)</f>
        <v>0</v>
      </c>
      <c r="D71" s="308">
        <f t="shared" ref="D71:F71" si="24">SUM(D72:D75)</f>
        <v>0</v>
      </c>
      <c r="E71" s="308">
        <f t="shared" si="24"/>
        <v>0</v>
      </c>
      <c r="F71" s="308">
        <f t="shared" si="24"/>
        <v>0</v>
      </c>
      <c r="G71" s="308">
        <f>F71-E71</f>
        <v>0</v>
      </c>
      <c r="H71" s="308" t="e">
        <f>(F71/E71)*100</f>
        <v>#DIV/0!</v>
      </c>
    </row>
    <row r="72" spans="1:8" ht="51.75" hidden="1" customHeight="1">
      <c r="A72" s="311" t="s">
        <v>79</v>
      </c>
      <c r="B72" s="297">
        <v>3010</v>
      </c>
      <c r="C72" s="312"/>
      <c r="D72" s="312"/>
      <c r="E72" s="312"/>
      <c r="F72" s="312"/>
      <c r="G72" s="308">
        <f t="shared" ref="G72:G117" si="25">F72-E72</f>
        <v>0</v>
      </c>
      <c r="H72" s="312" t="e">
        <f t="shared" ref="H72:H117" si="26">(F72/E72)*100</f>
        <v>#DIV/0!</v>
      </c>
    </row>
    <row r="73" spans="1:8" ht="27.75" hidden="1" customHeight="1">
      <c r="A73" s="311" t="s">
        <v>80</v>
      </c>
      <c r="B73" s="297">
        <v>3020</v>
      </c>
      <c r="C73" s="312"/>
      <c r="D73" s="312"/>
      <c r="E73" s="312"/>
      <c r="F73" s="312"/>
      <c r="G73" s="308">
        <f t="shared" si="25"/>
        <v>0</v>
      </c>
      <c r="H73" s="312" t="e">
        <f t="shared" si="26"/>
        <v>#DIV/0!</v>
      </c>
    </row>
    <row r="74" spans="1:8" ht="49.5" hidden="1" customHeight="1">
      <c r="A74" s="301" t="s">
        <v>92</v>
      </c>
      <c r="B74" s="297">
        <v>3030</v>
      </c>
      <c r="C74" s="312"/>
      <c r="D74" s="312"/>
      <c r="E74" s="312"/>
      <c r="F74" s="312"/>
      <c r="G74" s="308">
        <f t="shared" si="25"/>
        <v>0</v>
      </c>
      <c r="H74" s="312" t="e">
        <f t="shared" si="26"/>
        <v>#DIV/0!</v>
      </c>
    </row>
    <row r="75" spans="1:8" ht="34.5" hidden="1" customHeight="1">
      <c r="A75" s="301" t="s">
        <v>174</v>
      </c>
      <c r="B75" s="297">
        <v>3040</v>
      </c>
      <c r="C75" s="312"/>
      <c r="D75" s="312"/>
      <c r="E75" s="312"/>
      <c r="F75" s="312"/>
      <c r="G75" s="308">
        <f t="shared" si="25"/>
        <v>0</v>
      </c>
      <c r="H75" s="312" t="e">
        <f t="shared" si="26"/>
        <v>#DIV/0!</v>
      </c>
    </row>
    <row r="76" spans="1:8" ht="45" hidden="1" customHeight="1">
      <c r="A76" s="309" t="s">
        <v>56</v>
      </c>
      <c r="B76" s="310">
        <v>3100</v>
      </c>
      <c r="C76" s="308">
        <f>SUM(C77:C79,C87,C88)</f>
        <v>0</v>
      </c>
      <c r="D76" s="308">
        <f t="shared" ref="D76:F76" si="27">SUM(D77:D79,D87,D88)</f>
        <v>0</v>
      </c>
      <c r="E76" s="308">
        <f t="shared" si="27"/>
        <v>0</v>
      </c>
      <c r="F76" s="308">
        <f t="shared" si="27"/>
        <v>0</v>
      </c>
      <c r="G76" s="308">
        <f t="shared" si="25"/>
        <v>0</v>
      </c>
      <c r="H76" s="308" t="e">
        <f t="shared" si="26"/>
        <v>#DIV/0!</v>
      </c>
    </row>
    <row r="77" spans="1:8" ht="42" hidden="1" customHeight="1">
      <c r="A77" s="301" t="s">
        <v>57</v>
      </c>
      <c r="B77" s="297">
        <v>3110</v>
      </c>
      <c r="C77" s="308"/>
      <c r="D77" s="308"/>
      <c r="E77" s="308"/>
      <c r="F77" s="308"/>
      <c r="G77" s="308">
        <f t="shared" si="25"/>
        <v>0</v>
      </c>
      <c r="H77" s="312" t="e">
        <f t="shared" si="26"/>
        <v>#DIV/0!</v>
      </c>
    </row>
    <row r="78" spans="1:8" ht="36.75" hidden="1" customHeight="1">
      <c r="A78" s="301" t="s">
        <v>58</v>
      </c>
      <c r="B78" s="297">
        <v>3120</v>
      </c>
      <c r="C78" s="308"/>
      <c r="D78" s="308"/>
      <c r="E78" s="308"/>
      <c r="F78" s="308"/>
      <c r="G78" s="308">
        <f t="shared" si="25"/>
        <v>0</v>
      </c>
      <c r="H78" s="312" t="e">
        <f t="shared" si="26"/>
        <v>#DIV/0!</v>
      </c>
    </row>
    <row r="79" spans="1:8" ht="48.75" hidden="1" customHeight="1">
      <c r="A79" s="313" t="s">
        <v>59</v>
      </c>
      <c r="B79" s="314">
        <v>3130</v>
      </c>
      <c r="C79" s="315">
        <f t="shared" ref="C79:F79" si="28">SUM(C80:C86)</f>
        <v>0</v>
      </c>
      <c r="D79" s="315">
        <f t="shared" si="28"/>
        <v>0</v>
      </c>
      <c r="E79" s="315">
        <f t="shared" si="28"/>
        <v>0</v>
      </c>
      <c r="F79" s="315">
        <f t="shared" si="28"/>
        <v>0</v>
      </c>
      <c r="G79" s="308">
        <f t="shared" si="25"/>
        <v>0</v>
      </c>
      <c r="H79" s="315" t="e">
        <f t="shared" si="26"/>
        <v>#DIV/0!</v>
      </c>
    </row>
    <row r="80" spans="1:8" ht="30" hidden="1" customHeight="1">
      <c r="A80" s="301" t="s">
        <v>60</v>
      </c>
      <c r="B80" s="297">
        <v>3131</v>
      </c>
      <c r="C80" s="308"/>
      <c r="D80" s="308"/>
      <c r="E80" s="308"/>
      <c r="F80" s="308"/>
      <c r="G80" s="308">
        <f t="shared" si="25"/>
        <v>0</v>
      </c>
      <c r="H80" s="312" t="e">
        <f t="shared" si="26"/>
        <v>#DIV/0!</v>
      </c>
    </row>
    <row r="81" spans="1:8" ht="30" hidden="1" customHeight="1">
      <c r="A81" s="301" t="s">
        <v>61</v>
      </c>
      <c r="B81" s="297">
        <v>3132</v>
      </c>
      <c r="C81" s="308"/>
      <c r="D81" s="308"/>
      <c r="E81" s="308"/>
      <c r="F81" s="308"/>
      <c r="G81" s="308">
        <f t="shared" si="25"/>
        <v>0</v>
      </c>
      <c r="H81" s="312" t="e">
        <f t="shared" si="26"/>
        <v>#DIV/0!</v>
      </c>
    </row>
    <row r="82" spans="1:8" ht="30" hidden="1" customHeight="1">
      <c r="A82" s="301" t="s">
        <v>16</v>
      </c>
      <c r="B82" s="297">
        <v>3133</v>
      </c>
      <c r="C82" s="308"/>
      <c r="D82" s="308"/>
      <c r="E82" s="308"/>
      <c r="F82" s="308"/>
      <c r="G82" s="308">
        <f t="shared" si="25"/>
        <v>0</v>
      </c>
      <c r="H82" s="312" t="e">
        <f t="shared" si="26"/>
        <v>#DIV/0!</v>
      </c>
    </row>
    <row r="83" spans="1:8" ht="30" hidden="1" customHeight="1">
      <c r="A83" s="301" t="s">
        <v>72</v>
      </c>
      <c r="B83" s="297">
        <v>3134</v>
      </c>
      <c r="C83" s="308"/>
      <c r="D83" s="308"/>
      <c r="E83" s="308"/>
      <c r="F83" s="308"/>
      <c r="G83" s="308">
        <f t="shared" si="25"/>
        <v>0</v>
      </c>
      <c r="H83" s="312" t="e">
        <f t="shared" si="26"/>
        <v>#DIV/0!</v>
      </c>
    </row>
    <row r="84" spans="1:8" ht="30" hidden="1" customHeight="1">
      <c r="A84" s="301" t="s">
        <v>73</v>
      </c>
      <c r="B84" s="297">
        <v>3135</v>
      </c>
      <c r="C84" s="308"/>
      <c r="D84" s="308"/>
      <c r="E84" s="308"/>
      <c r="F84" s="308"/>
      <c r="G84" s="308">
        <f t="shared" si="25"/>
        <v>0</v>
      </c>
      <c r="H84" s="312" t="e">
        <f t="shared" si="26"/>
        <v>#DIV/0!</v>
      </c>
    </row>
    <row r="85" spans="1:8" ht="30" hidden="1" customHeight="1">
      <c r="A85" s="301" t="s">
        <v>90</v>
      </c>
      <c r="B85" s="297">
        <v>3136</v>
      </c>
      <c r="C85" s="308"/>
      <c r="D85" s="308"/>
      <c r="E85" s="308"/>
      <c r="F85" s="308"/>
      <c r="G85" s="308">
        <f t="shared" si="25"/>
        <v>0</v>
      </c>
      <c r="H85" s="312" t="e">
        <f t="shared" si="26"/>
        <v>#DIV/0!</v>
      </c>
    </row>
    <row r="86" spans="1:8" ht="42" hidden="1" customHeight="1">
      <c r="A86" s="301" t="s">
        <v>91</v>
      </c>
      <c r="B86" s="297">
        <v>3137</v>
      </c>
      <c r="C86" s="308"/>
      <c r="D86" s="308"/>
      <c r="E86" s="308"/>
      <c r="F86" s="308"/>
      <c r="G86" s="308">
        <f t="shared" si="25"/>
        <v>0</v>
      </c>
      <c r="H86" s="312" t="e">
        <f t="shared" si="26"/>
        <v>#DIV/0!</v>
      </c>
    </row>
    <row r="87" spans="1:8" ht="30.75" hidden="1" customHeight="1">
      <c r="A87" s="301" t="s">
        <v>17</v>
      </c>
      <c r="B87" s="297">
        <v>3138</v>
      </c>
      <c r="C87" s="308"/>
      <c r="D87" s="308"/>
      <c r="E87" s="308"/>
      <c r="F87" s="308"/>
      <c r="G87" s="308">
        <f t="shared" si="25"/>
        <v>0</v>
      </c>
      <c r="H87" s="312" t="e">
        <f t="shared" si="26"/>
        <v>#DIV/0!</v>
      </c>
    </row>
    <row r="88" spans="1:8" ht="27.75" hidden="1" customHeight="1">
      <c r="A88" s="311" t="s">
        <v>78</v>
      </c>
      <c r="B88" s="297">
        <v>3139</v>
      </c>
      <c r="C88" s="312"/>
      <c r="D88" s="312"/>
      <c r="E88" s="312"/>
      <c r="F88" s="312"/>
      <c r="G88" s="308">
        <f t="shared" si="25"/>
        <v>0</v>
      </c>
      <c r="H88" s="312" t="e">
        <f t="shared" si="26"/>
        <v>#DIV/0!</v>
      </c>
    </row>
    <row r="89" spans="1:8" ht="51" hidden="1" customHeight="1">
      <c r="A89" s="316" t="s">
        <v>38</v>
      </c>
      <c r="B89" s="317">
        <v>3160</v>
      </c>
      <c r="C89" s="318">
        <f t="shared" ref="C89:F89" si="29">SUM(C71,C76)</f>
        <v>0</v>
      </c>
      <c r="D89" s="318">
        <f t="shared" si="29"/>
        <v>0</v>
      </c>
      <c r="E89" s="318">
        <f t="shared" si="29"/>
        <v>0</v>
      </c>
      <c r="F89" s="318">
        <f t="shared" si="29"/>
        <v>0</v>
      </c>
      <c r="G89" s="308">
        <f t="shared" si="25"/>
        <v>0</v>
      </c>
      <c r="H89" s="308" t="e">
        <f t="shared" si="26"/>
        <v>#DIV/0!</v>
      </c>
    </row>
    <row r="90" spans="1:8" ht="46.5" hidden="1" customHeight="1">
      <c r="A90" s="319" t="s">
        <v>21</v>
      </c>
      <c r="B90" s="320"/>
      <c r="C90" s="321"/>
      <c r="D90" s="321"/>
      <c r="E90" s="321"/>
      <c r="F90" s="321"/>
      <c r="G90" s="308"/>
      <c r="H90" s="308"/>
    </row>
    <row r="91" spans="1:8" ht="43.5" hidden="1" customHeight="1">
      <c r="A91" s="316" t="s">
        <v>62</v>
      </c>
      <c r="B91" s="317">
        <v>3200</v>
      </c>
      <c r="C91" s="318">
        <f>C92</f>
        <v>0</v>
      </c>
      <c r="D91" s="318">
        <f t="shared" ref="D91:F91" si="30">D92</f>
        <v>0</v>
      </c>
      <c r="E91" s="318">
        <f t="shared" si="30"/>
        <v>0</v>
      </c>
      <c r="F91" s="318">
        <f t="shared" si="30"/>
        <v>0</v>
      </c>
      <c r="G91" s="308">
        <f t="shared" si="25"/>
        <v>0</v>
      </c>
      <c r="H91" s="308" t="e">
        <f t="shared" si="26"/>
        <v>#DIV/0!</v>
      </c>
    </row>
    <row r="92" spans="1:8" ht="31.5" hidden="1" customHeight="1">
      <c r="A92" s="322" t="s">
        <v>137</v>
      </c>
      <c r="B92" s="320">
        <v>3210</v>
      </c>
      <c r="C92" s="321"/>
      <c r="D92" s="321"/>
      <c r="E92" s="321"/>
      <c r="F92" s="321"/>
      <c r="G92" s="308">
        <f t="shared" si="25"/>
        <v>0</v>
      </c>
      <c r="H92" s="312" t="e">
        <f t="shared" si="26"/>
        <v>#DIV/0!</v>
      </c>
    </row>
    <row r="93" spans="1:8" ht="43.5" hidden="1" customHeight="1">
      <c r="A93" s="316" t="s">
        <v>63</v>
      </c>
      <c r="B93" s="317">
        <v>3255</v>
      </c>
      <c r="C93" s="318">
        <f>SUM(C94,C101)</f>
        <v>0</v>
      </c>
      <c r="D93" s="318">
        <f t="shared" ref="D93:F93" si="31">SUM(D94,D101)</f>
        <v>0</v>
      </c>
      <c r="E93" s="318">
        <f t="shared" si="31"/>
        <v>0</v>
      </c>
      <c r="F93" s="318">
        <f t="shared" si="31"/>
        <v>0</v>
      </c>
      <c r="G93" s="308">
        <f t="shared" si="25"/>
        <v>0</v>
      </c>
      <c r="H93" s="308" t="e">
        <f t="shared" si="26"/>
        <v>#DIV/0!</v>
      </c>
    </row>
    <row r="94" spans="1:8" ht="50.25" hidden="1" customHeight="1">
      <c r="A94" s="313" t="s">
        <v>93</v>
      </c>
      <c r="B94" s="323">
        <v>3260</v>
      </c>
      <c r="C94" s="324">
        <f>SUM(C95:C100)</f>
        <v>0</v>
      </c>
      <c r="D94" s="324">
        <f>SUM(D95:D100)</f>
        <v>0</v>
      </c>
      <c r="E94" s="324">
        <f t="shared" ref="E94:F94" si="32">SUM(E95:E100)</f>
        <v>0</v>
      </c>
      <c r="F94" s="324">
        <f t="shared" si="32"/>
        <v>0</v>
      </c>
      <c r="G94" s="308">
        <f t="shared" si="25"/>
        <v>0</v>
      </c>
      <c r="H94" s="315" t="e">
        <f t="shared" si="26"/>
        <v>#DIV/0!</v>
      </c>
    </row>
    <row r="95" spans="1:8" ht="36.75" hidden="1" customHeight="1">
      <c r="A95" s="325" t="s">
        <v>94</v>
      </c>
      <c r="B95" s="320">
        <v>3265</v>
      </c>
      <c r="C95" s="321"/>
      <c r="D95" s="321"/>
      <c r="E95" s="321"/>
      <c r="F95" s="321"/>
      <c r="G95" s="308">
        <f t="shared" si="25"/>
        <v>0</v>
      </c>
      <c r="H95" s="312" t="e">
        <f t="shared" si="26"/>
        <v>#DIV/0!</v>
      </c>
    </row>
    <row r="96" spans="1:8" ht="51" hidden="1" customHeight="1">
      <c r="A96" s="301" t="s">
        <v>175</v>
      </c>
      <c r="B96" s="320">
        <v>3266</v>
      </c>
      <c r="C96" s="321"/>
      <c r="D96" s="321"/>
      <c r="E96" s="321"/>
      <c r="F96" s="321"/>
      <c r="G96" s="308">
        <f t="shared" si="25"/>
        <v>0</v>
      </c>
      <c r="H96" s="312" t="e">
        <f t="shared" si="26"/>
        <v>#DIV/0!</v>
      </c>
    </row>
    <row r="97" spans="1:8" ht="51" hidden="1" customHeight="1">
      <c r="A97" s="301" t="s">
        <v>7</v>
      </c>
      <c r="B97" s="320">
        <v>3267</v>
      </c>
      <c r="C97" s="321"/>
      <c r="D97" s="321"/>
      <c r="E97" s="321"/>
      <c r="F97" s="321"/>
      <c r="G97" s="308">
        <f t="shared" si="25"/>
        <v>0</v>
      </c>
      <c r="H97" s="312" t="e">
        <f t="shared" si="26"/>
        <v>#DIV/0!</v>
      </c>
    </row>
    <row r="98" spans="1:8" ht="46.5" hidden="1" customHeight="1">
      <c r="A98" s="301" t="s">
        <v>176</v>
      </c>
      <c r="B98" s="320">
        <v>3268</v>
      </c>
      <c r="C98" s="321"/>
      <c r="D98" s="321"/>
      <c r="E98" s="321"/>
      <c r="F98" s="321"/>
      <c r="G98" s="308">
        <f t="shared" si="25"/>
        <v>0</v>
      </c>
      <c r="H98" s="312" t="e">
        <f t="shared" si="26"/>
        <v>#DIV/0!</v>
      </c>
    </row>
    <row r="99" spans="1:8" ht="61.5" hidden="1" customHeight="1">
      <c r="A99" s="301" t="s">
        <v>95</v>
      </c>
      <c r="B99" s="320">
        <v>3269</v>
      </c>
      <c r="C99" s="321"/>
      <c r="D99" s="321"/>
      <c r="E99" s="321"/>
      <c r="F99" s="321"/>
      <c r="G99" s="308">
        <f t="shared" si="25"/>
        <v>0</v>
      </c>
      <c r="H99" s="312" t="e">
        <f t="shared" si="26"/>
        <v>#DIV/0!</v>
      </c>
    </row>
    <row r="100" spans="1:8" ht="27.75" hidden="1" customHeight="1">
      <c r="A100" s="301" t="s">
        <v>96</v>
      </c>
      <c r="B100" s="320">
        <v>3270</v>
      </c>
      <c r="C100" s="321"/>
      <c r="D100" s="321"/>
      <c r="E100" s="321"/>
      <c r="F100" s="321"/>
      <c r="G100" s="308">
        <f t="shared" si="25"/>
        <v>0</v>
      </c>
      <c r="H100" s="312" t="e">
        <f t="shared" si="26"/>
        <v>#DIV/0!</v>
      </c>
    </row>
    <row r="101" spans="1:8" ht="26.25" hidden="1" customHeight="1">
      <c r="A101" s="301" t="s">
        <v>78</v>
      </c>
      <c r="B101" s="320">
        <v>3280</v>
      </c>
      <c r="C101" s="321"/>
      <c r="D101" s="321"/>
      <c r="E101" s="321"/>
      <c r="F101" s="321"/>
      <c r="G101" s="308">
        <f t="shared" si="25"/>
        <v>0</v>
      </c>
      <c r="H101" s="312" t="e">
        <f t="shared" si="26"/>
        <v>#DIV/0!</v>
      </c>
    </row>
    <row r="102" spans="1:8" ht="47.25" hidden="1" customHeight="1">
      <c r="A102" s="326" t="s">
        <v>22</v>
      </c>
      <c r="B102" s="317">
        <v>3295</v>
      </c>
      <c r="C102" s="318">
        <f t="shared" ref="C102:F102" si="33">SUM(C91,C93)</f>
        <v>0</v>
      </c>
      <c r="D102" s="318">
        <f t="shared" si="33"/>
        <v>0</v>
      </c>
      <c r="E102" s="318">
        <f t="shared" si="33"/>
        <v>0</v>
      </c>
      <c r="F102" s="318">
        <f t="shared" si="33"/>
        <v>0</v>
      </c>
      <c r="G102" s="308">
        <f t="shared" si="25"/>
        <v>0</v>
      </c>
      <c r="H102" s="308" t="e">
        <f t="shared" si="26"/>
        <v>#DIV/0!</v>
      </c>
    </row>
    <row r="103" spans="1:8" ht="45" hidden="1" customHeight="1">
      <c r="A103" s="304" t="s">
        <v>23</v>
      </c>
      <c r="B103" s="317"/>
      <c r="C103" s="318"/>
      <c r="D103" s="318"/>
      <c r="E103" s="318"/>
      <c r="F103" s="318"/>
      <c r="G103" s="308"/>
      <c r="H103" s="308"/>
    </row>
    <row r="104" spans="1:8" ht="45" hidden="1" customHeight="1">
      <c r="A104" s="326" t="s">
        <v>64</v>
      </c>
      <c r="B104" s="317">
        <v>3300</v>
      </c>
      <c r="C104" s="318">
        <f>SUM(C105:C108)</f>
        <v>0</v>
      </c>
      <c r="D104" s="318">
        <f t="shared" ref="D104:F104" si="34">SUM(D105:D108)</f>
        <v>0</v>
      </c>
      <c r="E104" s="318">
        <f t="shared" si="34"/>
        <v>0</v>
      </c>
      <c r="F104" s="318">
        <f t="shared" si="34"/>
        <v>0</v>
      </c>
      <c r="G104" s="308">
        <f t="shared" si="25"/>
        <v>0</v>
      </c>
      <c r="H104" s="308" t="e">
        <f t="shared" si="26"/>
        <v>#DIV/0!</v>
      </c>
    </row>
    <row r="105" spans="1:8" ht="27.75" hidden="1" customHeight="1">
      <c r="A105" s="301" t="s">
        <v>65</v>
      </c>
      <c r="B105" s="320">
        <v>3310</v>
      </c>
      <c r="C105" s="321"/>
      <c r="D105" s="321"/>
      <c r="E105" s="321"/>
      <c r="F105" s="321"/>
      <c r="G105" s="308">
        <f t="shared" si="25"/>
        <v>0</v>
      </c>
      <c r="H105" s="312" t="e">
        <f t="shared" si="26"/>
        <v>#DIV/0!</v>
      </c>
    </row>
    <row r="106" spans="1:8" ht="45" hidden="1" customHeight="1">
      <c r="A106" s="301" t="s">
        <v>154</v>
      </c>
      <c r="B106" s="320">
        <v>3320</v>
      </c>
      <c r="C106" s="321"/>
      <c r="D106" s="321"/>
      <c r="E106" s="321"/>
      <c r="F106" s="321"/>
      <c r="G106" s="308">
        <f t="shared" si="25"/>
        <v>0</v>
      </c>
      <c r="H106" s="312" t="e">
        <f t="shared" si="26"/>
        <v>#DIV/0!</v>
      </c>
    </row>
    <row r="107" spans="1:8" ht="44.25" hidden="1" customHeight="1">
      <c r="A107" s="301" t="s">
        <v>97</v>
      </c>
      <c r="B107" s="320">
        <v>3330</v>
      </c>
      <c r="C107" s="321"/>
      <c r="D107" s="321"/>
      <c r="E107" s="321"/>
      <c r="F107" s="321"/>
      <c r="G107" s="308">
        <f t="shared" si="25"/>
        <v>0</v>
      </c>
      <c r="H107" s="312" t="e">
        <f t="shared" si="26"/>
        <v>#DIV/0!</v>
      </c>
    </row>
    <row r="108" spans="1:8" ht="27.75" hidden="1" customHeight="1">
      <c r="A108" s="301" t="s">
        <v>174</v>
      </c>
      <c r="B108" s="320">
        <v>3340</v>
      </c>
      <c r="C108" s="321"/>
      <c r="D108" s="321"/>
      <c r="E108" s="321"/>
      <c r="F108" s="321"/>
      <c r="G108" s="308">
        <f t="shared" si="25"/>
        <v>0</v>
      </c>
      <c r="H108" s="312" t="e">
        <f t="shared" si="26"/>
        <v>#DIV/0!</v>
      </c>
    </row>
    <row r="109" spans="1:8" ht="47.25" hidden="1" customHeight="1">
      <c r="A109" s="327" t="s">
        <v>66</v>
      </c>
      <c r="B109" s="317">
        <v>3345</v>
      </c>
      <c r="C109" s="318">
        <f>SUM(C110:C113)</f>
        <v>0</v>
      </c>
      <c r="D109" s="318">
        <f t="shared" ref="D109:F109" si="35">SUM(D110:D113)</f>
        <v>0</v>
      </c>
      <c r="E109" s="318">
        <f t="shared" si="35"/>
        <v>0</v>
      </c>
      <c r="F109" s="318">
        <f t="shared" si="35"/>
        <v>0</v>
      </c>
      <c r="G109" s="308">
        <f t="shared" si="25"/>
        <v>0</v>
      </c>
      <c r="H109" s="308" t="e">
        <f t="shared" si="26"/>
        <v>#DIV/0!</v>
      </c>
    </row>
    <row r="110" spans="1:8" ht="48" hidden="1" customHeight="1">
      <c r="A110" s="301" t="s">
        <v>153</v>
      </c>
      <c r="B110" s="320">
        <v>3350</v>
      </c>
      <c r="C110" s="318"/>
      <c r="D110" s="318"/>
      <c r="E110" s="318"/>
      <c r="F110" s="318"/>
      <c r="G110" s="308">
        <f t="shared" si="25"/>
        <v>0</v>
      </c>
      <c r="H110" s="312" t="e">
        <f t="shared" si="26"/>
        <v>#DIV/0!</v>
      </c>
    </row>
    <row r="111" spans="1:8" ht="30.75" hidden="1" customHeight="1">
      <c r="A111" s="301" t="s">
        <v>98</v>
      </c>
      <c r="B111" s="320">
        <v>3355</v>
      </c>
      <c r="C111" s="318"/>
      <c r="D111" s="318"/>
      <c r="E111" s="318"/>
      <c r="F111" s="318"/>
      <c r="G111" s="308">
        <f t="shared" si="25"/>
        <v>0</v>
      </c>
      <c r="H111" s="312" t="e">
        <f t="shared" si="26"/>
        <v>#DIV/0!</v>
      </c>
    </row>
    <row r="112" spans="1:8" ht="45" hidden="1" customHeight="1">
      <c r="A112" s="301" t="s">
        <v>99</v>
      </c>
      <c r="B112" s="320">
        <v>3360</v>
      </c>
      <c r="C112" s="318"/>
      <c r="D112" s="318"/>
      <c r="E112" s="318"/>
      <c r="F112" s="318"/>
      <c r="G112" s="308">
        <f t="shared" si="25"/>
        <v>0</v>
      </c>
      <c r="H112" s="312" t="e">
        <f t="shared" si="26"/>
        <v>#DIV/0!</v>
      </c>
    </row>
    <row r="113" spans="1:8" ht="33" hidden="1" customHeight="1">
      <c r="A113" s="301" t="s">
        <v>78</v>
      </c>
      <c r="B113" s="320">
        <v>3365</v>
      </c>
      <c r="C113" s="318"/>
      <c r="D113" s="318"/>
      <c r="E113" s="318"/>
      <c r="F113" s="318"/>
      <c r="G113" s="308">
        <f t="shared" si="25"/>
        <v>0</v>
      </c>
      <c r="H113" s="312" t="e">
        <f t="shared" si="26"/>
        <v>#DIV/0!</v>
      </c>
    </row>
    <row r="114" spans="1:8" ht="40.5" hidden="1" customHeight="1">
      <c r="A114" s="327" t="s">
        <v>24</v>
      </c>
      <c r="B114" s="317">
        <v>3370</v>
      </c>
      <c r="C114" s="318">
        <f>SUM(C104,C109)</f>
        <v>0</v>
      </c>
      <c r="D114" s="318">
        <f t="shared" ref="D114:F114" si="36">SUM(D104,D109)</f>
        <v>0</v>
      </c>
      <c r="E114" s="318">
        <f t="shared" si="36"/>
        <v>0</v>
      </c>
      <c r="F114" s="318">
        <f t="shared" si="36"/>
        <v>0</v>
      </c>
      <c r="G114" s="308">
        <f t="shared" si="25"/>
        <v>0</v>
      </c>
      <c r="H114" s="308" t="e">
        <f t="shared" si="26"/>
        <v>#DIV/0!</v>
      </c>
    </row>
    <row r="115" spans="1:8" ht="30.75" hidden="1" customHeight="1">
      <c r="A115" s="327" t="s">
        <v>8</v>
      </c>
      <c r="B115" s="317">
        <v>3400</v>
      </c>
      <c r="C115" s="318">
        <f t="shared" ref="C115:F115" si="37">SUM(C89,C102,C114)</f>
        <v>0</v>
      </c>
      <c r="D115" s="318">
        <f t="shared" si="37"/>
        <v>0</v>
      </c>
      <c r="E115" s="318">
        <f t="shared" si="37"/>
        <v>0</v>
      </c>
      <c r="F115" s="318">
        <f t="shared" si="37"/>
        <v>0</v>
      </c>
      <c r="G115" s="308">
        <f t="shared" si="25"/>
        <v>0</v>
      </c>
      <c r="H115" s="308" t="e">
        <f t="shared" si="26"/>
        <v>#DIV/0!</v>
      </c>
    </row>
    <row r="116" spans="1:8" ht="30.75" hidden="1" customHeight="1">
      <c r="A116" s="301" t="s">
        <v>100</v>
      </c>
      <c r="B116" s="320">
        <v>3405</v>
      </c>
      <c r="C116" s="318"/>
      <c r="D116" s="318"/>
      <c r="E116" s="318"/>
      <c r="F116" s="318"/>
      <c r="G116" s="308">
        <f t="shared" si="25"/>
        <v>0</v>
      </c>
      <c r="H116" s="312" t="e">
        <f t="shared" si="26"/>
        <v>#DIV/0!</v>
      </c>
    </row>
    <row r="117" spans="1:8" ht="30.75" hidden="1" customHeight="1">
      <c r="A117" s="326" t="s">
        <v>101</v>
      </c>
      <c r="B117" s="317">
        <v>3415</v>
      </c>
      <c r="C117" s="318">
        <f>SUM(C116,C115)</f>
        <v>0</v>
      </c>
      <c r="D117" s="318">
        <f t="shared" ref="D117" si="38">SUM(D116,D115)</f>
        <v>0</v>
      </c>
      <c r="E117" s="318">
        <f>SUM(E116,E115)</f>
        <v>0</v>
      </c>
      <c r="F117" s="318">
        <f t="shared" ref="F117" si="39">SUM(F116,F115)</f>
        <v>0</v>
      </c>
      <c r="G117" s="308">
        <f t="shared" si="25"/>
        <v>0</v>
      </c>
      <c r="H117" s="308" t="e">
        <f t="shared" si="26"/>
        <v>#DIV/0!</v>
      </c>
    </row>
    <row r="118" spans="1:8" ht="24.95" customHeight="1">
      <c r="A118" s="359" t="s">
        <v>141</v>
      </c>
      <c r="B118" s="360"/>
      <c r="C118" s="360"/>
      <c r="D118" s="360"/>
      <c r="E118" s="360"/>
      <c r="F118" s="360"/>
      <c r="G118" s="360"/>
      <c r="H118" s="360"/>
    </row>
    <row r="119" spans="1:8" ht="27.75" customHeight="1">
      <c r="A119" s="328" t="s">
        <v>26</v>
      </c>
      <c r="B119" s="310">
        <v>4000</v>
      </c>
      <c r="C119" s="85">
        <f>SUM(C120:C126)</f>
        <v>-3080.7</v>
      </c>
      <c r="D119" s="306">
        <f>SUM(D120:D126)</f>
        <v>-352.7</v>
      </c>
      <c r="E119" s="306">
        <f>SUM(E120:E126)</f>
        <v>-5415.8</v>
      </c>
      <c r="F119" s="306">
        <f>SUM(F120:F126)</f>
        <v>-352.7</v>
      </c>
      <c r="G119" s="306">
        <f>F119-E119</f>
        <v>5063.1000000000004</v>
      </c>
      <c r="H119" s="306">
        <f>(F119/E119)*100</f>
        <v>6.5124266036411971</v>
      </c>
    </row>
    <row r="120" spans="1:8" ht="37.5" customHeight="1">
      <c r="A120" s="329" t="s">
        <v>94</v>
      </c>
      <c r="B120" s="297">
        <v>4010</v>
      </c>
      <c r="C120" s="187" t="s">
        <v>34</v>
      </c>
      <c r="D120" s="302" t="s">
        <v>34</v>
      </c>
      <c r="E120" s="302" t="s">
        <v>34</v>
      </c>
      <c r="F120" s="302" t="s">
        <v>34</v>
      </c>
      <c r="G120" s="302"/>
      <c r="H120" s="302"/>
    </row>
    <row r="121" spans="1:8" ht="48.75" customHeight="1">
      <c r="A121" s="330" t="s">
        <v>175</v>
      </c>
      <c r="B121" s="297">
        <v>4020</v>
      </c>
      <c r="C121" s="187">
        <v>-1893</v>
      </c>
      <c r="D121" s="302">
        <v>-186.7</v>
      </c>
      <c r="E121" s="302">
        <v>-1735.4</v>
      </c>
      <c r="F121" s="302">
        <v>-186.7</v>
      </c>
      <c r="G121" s="302">
        <f t="shared" ref="G121:G125" si="40">F121-E121</f>
        <v>1548.7</v>
      </c>
      <c r="H121" s="302">
        <f t="shared" ref="H121:H123" si="41">(F121/E121)*100</f>
        <v>10.758326610579692</v>
      </c>
    </row>
    <row r="122" spans="1:8" ht="48.75" customHeight="1">
      <c r="A122" s="330" t="s">
        <v>107</v>
      </c>
      <c r="B122" s="297">
        <v>4030</v>
      </c>
      <c r="C122" s="187">
        <v>-488.9</v>
      </c>
      <c r="D122" s="302">
        <v>-138</v>
      </c>
      <c r="E122" s="302">
        <v>-585.4</v>
      </c>
      <c r="F122" s="302">
        <v>-138</v>
      </c>
      <c r="G122" s="302">
        <f t="shared" si="40"/>
        <v>447.4</v>
      </c>
      <c r="H122" s="302">
        <f t="shared" si="41"/>
        <v>23.573624871882473</v>
      </c>
    </row>
    <row r="123" spans="1:8" ht="49.5" customHeight="1">
      <c r="A123" s="330" t="s">
        <v>176</v>
      </c>
      <c r="B123" s="297">
        <v>4040</v>
      </c>
      <c r="C123" s="187">
        <v>-698.8</v>
      </c>
      <c r="D123" s="302">
        <v>-28</v>
      </c>
      <c r="E123" s="302">
        <v>-395</v>
      </c>
      <c r="F123" s="302">
        <v>-28</v>
      </c>
      <c r="G123" s="302">
        <f t="shared" si="40"/>
        <v>367</v>
      </c>
      <c r="H123" s="302">
        <f t="shared" si="41"/>
        <v>7.0886075949367093</v>
      </c>
    </row>
    <row r="124" spans="1:8" ht="73.5" customHeight="1">
      <c r="A124" s="330" t="s">
        <v>95</v>
      </c>
      <c r="B124" s="297">
        <v>4050</v>
      </c>
      <c r="C124" s="187" t="s">
        <v>34</v>
      </c>
      <c r="D124" s="302" t="s">
        <v>34</v>
      </c>
      <c r="E124" s="302" t="s">
        <v>34</v>
      </c>
      <c r="F124" s="302" t="s">
        <v>34</v>
      </c>
      <c r="G124" s="302"/>
      <c r="H124" s="302"/>
    </row>
    <row r="125" spans="1:8" ht="36.75" customHeight="1">
      <c r="A125" s="330" t="s">
        <v>96</v>
      </c>
      <c r="B125" s="297">
        <v>4060</v>
      </c>
      <c r="C125" s="187" t="s">
        <v>34</v>
      </c>
      <c r="D125" s="302"/>
      <c r="E125" s="302">
        <v>-2700</v>
      </c>
      <c r="F125" s="302"/>
      <c r="G125" s="302">
        <f t="shared" si="40"/>
        <v>2700</v>
      </c>
      <c r="H125" s="302"/>
    </row>
    <row r="126" spans="1:8" ht="39.75" customHeight="1" thickBot="1">
      <c r="A126" s="24" t="s">
        <v>78</v>
      </c>
      <c r="B126" s="25">
        <v>4070</v>
      </c>
      <c r="C126" s="264" t="s">
        <v>34</v>
      </c>
      <c r="D126" s="14" t="s">
        <v>34</v>
      </c>
      <c r="E126" s="14" t="s">
        <v>34</v>
      </c>
      <c r="F126" s="14" t="s">
        <v>34</v>
      </c>
      <c r="G126" s="14"/>
      <c r="H126" s="14"/>
    </row>
    <row r="127" spans="1:8" s="26" customFormat="1" ht="29.25" customHeight="1">
      <c r="A127" s="358" t="s">
        <v>142</v>
      </c>
      <c r="B127" s="358"/>
      <c r="C127" s="358"/>
      <c r="D127" s="358"/>
      <c r="E127" s="358"/>
      <c r="F127" s="358"/>
      <c r="G127" s="358"/>
      <c r="H127" s="358"/>
    </row>
    <row r="128" spans="1:8" ht="48.75" customHeight="1">
      <c r="A128" s="9" t="s">
        <v>67</v>
      </c>
      <c r="B128" s="10" t="s">
        <v>39</v>
      </c>
      <c r="C128" s="11">
        <f>SUM(C129:C131)</f>
        <v>0</v>
      </c>
      <c r="D128" s="11">
        <f t="shared" ref="D128:F128" si="42">SUM(D129:D131)</f>
        <v>0</v>
      </c>
      <c r="E128" s="11">
        <f t="shared" si="42"/>
        <v>0</v>
      </c>
      <c r="F128" s="11">
        <f t="shared" si="42"/>
        <v>0</v>
      </c>
      <c r="G128" s="11">
        <f>F128-E128</f>
        <v>0</v>
      </c>
      <c r="H128" s="11"/>
    </row>
    <row r="129" spans="1:8" ht="36.75" customHeight="1">
      <c r="A129" s="15" t="s">
        <v>108</v>
      </c>
      <c r="B129" s="13" t="s">
        <v>40</v>
      </c>
      <c r="C129" s="14"/>
      <c r="D129" s="14"/>
      <c r="E129" s="14"/>
      <c r="F129" s="14"/>
      <c r="G129" s="14">
        <f t="shared" ref="G129:G135" si="43">F129-E129</f>
        <v>0</v>
      </c>
      <c r="H129" s="14"/>
    </row>
    <row r="130" spans="1:8" ht="34.5" customHeight="1">
      <c r="A130" s="15" t="s">
        <v>109</v>
      </c>
      <c r="B130" s="13" t="s">
        <v>41</v>
      </c>
      <c r="C130" s="14"/>
      <c r="D130" s="14"/>
      <c r="E130" s="14"/>
      <c r="F130" s="14"/>
      <c r="G130" s="14">
        <f t="shared" si="43"/>
        <v>0</v>
      </c>
      <c r="H130" s="14"/>
    </row>
    <row r="131" spans="1:8" ht="35.25" customHeight="1">
      <c r="A131" s="15" t="s">
        <v>110</v>
      </c>
      <c r="B131" s="13" t="s">
        <v>42</v>
      </c>
      <c r="C131" s="14"/>
      <c r="D131" s="14"/>
      <c r="E131" s="14"/>
      <c r="F131" s="14"/>
      <c r="G131" s="14">
        <f t="shared" si="43"/>
        <v>0</v>
      </c>
      <c r="H131" s="14"/>
    </row>
    <row r="132" spans="1:8" ht="46.5" customHeight="1">
      <c r="A132" s="9" t="s">
        <v>68</v>
      </c>
      <c r="B132" s="10" t="s">
        <v>43</v>
      </c>
      <c r="C132" s="11">
        <f>SUM(C133:C135)</f>
        <v>0</v>
      </c>
      <c r="D132" s="11">
        <f t="shared" ref="D132:F132" si="44">SUM(D133:D135)</f>
        <v>0</v>
      </c>
      <c r="E132" s="11">
        <f t="shared" si="44"/>
        <v>0</v>
      </c>
      <c r="F132" s="11">
        <f t="shared" si="44"/>
        <v>0</v>
      </c>
      <c r="G132" s="11">
        <f t="shared" si="43"/>
        <v>0</v>
      </c>
      <c r="H132" s="11"/>
    </row>
    <row r="133" spans="1:8" ht="36.75" customHeight="1">
      <c r="A133" s="15" t="s">
        <v>108</v>
      </c>
      <c r="B133" s="13" t="s">
        <v>44</v>
      </c>
      <c r="C133" s="14"/>
      <c r="D133" s="14"/>
      <c r="E133" s="14"/>
      <c r="F133" s="14"/>
      <c r="G133" s="14">
        <f t="shared" si="43"/>
        <v>0</v>
      </c>
      <c r="H133" s="14"/>
    </row>
    <row r="134" spans="1:8" ht="36.75" customHeight="1">
      <c r="A134" s="15" t="s">
        <v>109</v>
      </c>
      <c r="B134" s="13" t="s">
        <v>45</v>
      </c>
      <c r="C134" s="14"/>
      <c r="D134" s="14"/>
      <c r="E134" s="14"/>
      <c r="F134" s="14"/>
      <c r="G134" s="14">
        <f t="shared" si="43"/>
        <v>0</v>
      </c>
      <c r="H134" s="14"/>
    </row>
    <row r="135" spans="1:8" ht="34.5" customHeight="1">
      <c r="A135" s="15" t="s">
        <v>110</v>
      </c>
      <c r="B135" s="13" t="s">
        <v>46</v>
      </c>
      <c r="C135" s="14"/>
      <c r="D135" s="14"/>
      <c r="E135" s="14"/>
      <c r="F135" s="14"/>
      <c r="G135" s="14">
        <f t="shared" si="43"/>
        <v>0</v>
      </c>
      <c r="H135" s="14"/>
    </row>
    <row r="136" spans="1:8" ht="34.5" customHeight="1">
      <c r="A136" s="358" t="s">
        <v>143</v>
      </c>
      <c r="B136" s="358"/>
      <c r="C136" s="358"/>
      <c r="D136" s="358"/>
      <c r="E136" s="358"/>
      <c r="F136" s="358"/>
      <c r="G136" s="358"/>
      <c r="H136" s="358"/>
    </row>
    <row r="137" spans="1:8" s="4" customFormat="1" ht="86.25" customHeight="1">
      <c r="A137" s="18" t="s">
        <v>177</v>
      </c>
      <c r="B137" s="27" t="s">
        <v>47</v>
      </c>
      <c r="C137" s="265">
        <f>SUM(C138:C140)</f>
        <v>190</v>
      </c>
      <c r="D137" s="273">
        <f t="shared" ref="D137" si="45">SUM(D138:D140)</f>
        <v>198</v>
      </c>
      <c r="E137" s="273">
        <f t="shared" ref="E137:F137" si="46">SUM(E138:E140)</f>
        <v>197</v>
      </c>
      <c r="F137" s="273">
        <f t="shared" si="46"/>
        <v>198</v>
      </c>
      <c r="G137" s="21">
        <f>F137-E137</f>
        <v>1</v>
      </c>
      <c r="H137" s="21">
        <f>(F137/E137)*100</f>
        <v>100.50761421319795</v>
      </c>
    </row>
    <row r="138" spans="1:8" ht="27.75" customHeight="1">
      <c r="A138" s="15" t="s">
        <v>29</v>
      </c>
      <c r="B138" s="13" t="s">
        <v>48</v>
      </c>
      <c r="C138" s="266">
        <v>1</v>
      </c>
      <c r="D138" s="274">
        <v>1</v>
      </c>
      <c r="E138" s="274">
        <v>1</v>
      </c>
      <c r="F138" s="274">
        <v>1</v>
      </c>
      <c r="G138" s="22">
        <f t="shared" ref="G138:G152" si="47">F138-E138</f>
        <v>0</v>
      </c>
      <c r="H138" s="22">
        <f t="shared" ref="H138:H152" si="48">(F138/E138)*100</f>
        <v>100</v>
      </c>
    </row>
    <row r="139" spans="1:8" ht="27.75" customHeight="1">
      <c r="A139" s="15" t="s">
        <v>32</v>
      </c>
      <c r="B139" s="13" t="s">
        <v>49</v>
      </c>
      <c r="C139" s="266">
        <v>5</v>
      </c>
      <c r="D139" s="274">
        <v>6</v>
      </c>
      <c r="E139" s="274">
        <v>5</v>
      </c>
      <c r="F139" s="274">
        <v>6</v>
      </c>
      <c r="G139" s="22">
        <f t="shared" si="47"/>
        <v>1</v>
      </c>
      <c r="H139" s="22">
        <f t="shared" si="48"/>
        <v>120</v>
      </c>
    </row>
    <row r="140" spans="1:8" ht="27.75" customHeight="1">
      <c r="A140" s="15" t="s">
        <v>30</v>
      </c>
      <c r="B140" s="13" t="s">
        <v>50</v>
      </c>
      <c r="C140" s="266">
        <v>184</v>
      </c>
      <c r="D140" s="274">
        <v>191</v>
      </c>
      <c r="E140" s="274">
        <v>191</v>
      </c>
      <c r="F140" s="274">
        <v>191</v>
      </c>
      <c r="G140" s="22">
        <f t="shared" si="47"/>
        <v>0</v>
      </c>
      <c r="H140" s="22">
        <f t="shared" si="48"/>
        <v>100</v>
      </c>
    </row>
    <row r="141" spans="1:8" ht="27.75" customHeight="1">
      <c r="A141" s="9" t="s">
        <v>111</v>
      </c>
      <c r="B141" s="10" t="s">
        <v>51</v>
      </c>
      <c r="C141" s="130">
        <f>SUM(C142:C144)</f>
        <v>20063.100000000002</v>
      </c>
      <c r="D141" s="11">
        <f t="shared" ref="D141" si="49">SUM(D142:D144)</f>
        <v>24848.7</v>
      </c>
      <c r="E141" s="11">
        <f t="shared" ref="E141:F141" si="50">SUM(E142:E144)</f>
        <v>22232.2</v>
      </c>
      <c r="F141" s="11">
        <f t="shared" si="50"/>
        <v>24848.7</v>
      </c>
      <c r="G141" s="21">
        <f t="shared" si="47"/>
        <v>2616.5</v>
      </c>
      <c r="H141" s="21">
        <f t="shared" si="48"/>
        <v>111.76896573438526</v>
      </c>
    </row>
    <row r="142" spans="1:8" ht="27.75" customHeight="1">
      <c r="A142" s="15" t="s">
        <v>29</v>
      </c>
      <c r="B142" s="13">
        <v>8011</v>
      </c>
      <c r="C142" s="267">
        <v>336.7</v>
      </c>
      <c r="D142" s="14">
        <v>404.3</v>
      </c>
      <c r="E142" s="14">
        <v>363.8</v>
      </c>
      <c r="F142" s="14">
        <v>404.3</v>
      </c>
      <c r="G142" s="22">
        <f t="shared" si="47"/>
        <v>40.5</v>
      </c>
      <c r="H142" s="22">
        <f t="shared" si="48"/>
        <v>111.13249037932931</v>
      </c>
    </row>
    <row r="143" spans="1:8" ht="27.75" customHeight="1">
      <c r="A143" s="15" t="s">
        <v>32</v>
      </c>
      <c r="B143" s="13">
        <v>8012</v>
      </c>
      <c r="C143" s="267">
        <v>1044</v>
      </c>
      <c r="D143" s="14">
        <v>1450.6</v>
      </c>
      <c r="E143" s="14">
        <v>1115.2</v>
      </c>
      <c r="F143" s="14">
        <v>1450.6</v>
      </c>
      <c r="G143" s="22">
        <f t="shared" si="47"/>
        <v>335.39999999999986</v>
      </c>
      <c r="H143" s="22">
        <f t="shared" si="48"/>
        <v>130.07532281205164</v>
      </c>
    </row>
    <row r="144" spans="1:8" ht="27.75" customHeight="1">
      <c r="A144" s="15" t="s">
        <v>30</v>
      </c>
      <c r="B144" s="13">
        <v>8013</v>
      </c>
      <c r="C144" s="267">
        <v>18682.400000000001</v>
      </c>
      <c r="D144" s="14">
        <v>22993.8</v>
      </c>
      <c r="E144" s="14">
        <v>20753.2</v>
      </c>
      <c r="F144" s="14">
        <v>22993.8</v>
      </c>
      <c r="G144" s="22">
        <f t="shared" si="47"/>
        <v>2240.5999999999985</v>
      </c>
      <c r="H144" s="22">
        <f t="shared" si="48"/>
        <v>110.79640730104272</v>
      </c>
    </row>
    <row r="145" spans="1:8" ht="27.75" customHeight="1">
      <c r="A145" s="9" t="s">
        <v>2</v>
      </c>
      <c r="B145" s="10">
        <v>8020</v>
      </c>
      <c r="C145" s="130">
        <v>20063.099999999999</v>
      </c>
      <c r="D145" s="11">
        <f t="shared" ref="D145" si="51">SUM(D146:D148)</f>
        <v>24848.7</v>
      </c>
      <c r="E145" s="11">
        <f t="shared" ref="E145:F145" si="52">SUM(E146:E148)</f>
        <v>22232.2</v>
      </c>
      <c r="F145" s="11">
        <f t="shared" si="52"/>
        <v>24848.7</v>
      </c>
      <c r="G145" s="21">
        <f t="shared" si="47"/>
        <v>2616.5</v>
      </c>
      <c r="H145" s="21">
        <f t="shared" si="48"/>
        <v>111.76896573438526</v>
      </c>
    </row>
    <row r="146" spans="1:8" ht="27.75" customHeight="1">
      <c r="A146" s="15" t="s">
        <v>29</v>
      </c>
      <c r="B146" s="13">
        <v>8021</v>
      </c>
      <c r="C146" s="267">
        <v>336.7</v>
      </c>
      <c r="D146" s="14">
        <v>404.3</v>
      </c>
      <c r="E146" s="14">
        <v>363.8</v>
      </c>
      <c r="F146" s="14">
        <v>404.3</v>
      </c>
      <c r="G146" s="22">
        <f t="shared" si="47"/>
        <v>40.5</v>
      </c>
      <c r="H146" s="22">
        <f t="shared" si="48"/>
        <v>111.13249037932931</v>
      </c>
    </row>
    <row r="147" spans="1:8" ht="27.75" customHeight="1">
      <c r="A147" s="15" t="s">
        <v>32</v>
      </c>
      <c r="B147" s="13">
        <v>8022</v>
      </c>
      <c r="C147" s="267">
        <v>1044</v>
      </c>
      <c r="D147" s="14">
        <v>1450.6</v>
      </c>
      <c r="E147" s="14">
        <v>1115.2</v>
      </c>
      <c r="F147" s="14">
        <v>1450.6</v>
      </c>
      <c r="G147" s="22">
        <f t="shared" si="47"/>
        <v>335.39999999999986</v>
      </c>
      <c r="H147" s="22">
        <f t="shared" si="48"/>
        <v>130.07532281205164</v>
      </c>
    </row>
    <row r="148" spans="1:8" ht="27.75" customHeight="1">
      <c r="A148" s="15" t="s">
        <v>30</v>
      </c>
      <c r="B148" s="13">
        <v>8023</v>
      </c>
      <c r="C148" s="267">
        <v>18682.400000000001</v>
      </c>
      <c r="D148" s="14">
        <v>22993.8</v>
      </c>
      <c r="E148" s="14">
        <v>20753.2</v>
      </c>
      <c r="F148" s="14">
        <v>22993.8</v>
      </c>
      <c r="G148" s="22">
        <f t="shared" si="47"/>
        <v>2240.5999999999985</v>
      </c>
      <c r="H148" s="22">
        <f t="shared" si="48"/>
        <v>110.79640730104272</v>
      </c>
    </row>
    <row r="149" spans="1:8" s="4" customFormat="1" ht="48" customHeight="1">
      <c r="A149" s="18" t="s">
        <v>77</v>
      </c>
      <c r="B149" s="27" t="s">
        <v>112</v>
      </c>
      <c r="C149" s="268">
        <f>(C145/C137)/9*1000</f>
        <v>11732.807017543859</v>
      </c>
      <c r="D149" s="11">
        <f>(D145/D137)/9*1000</f>
        <v>13944.276094276094</v>
      </c>
      <c r="E149" s="11">
        <f>(E145/E137)/9*1000</f>
        <v>12539.311900733221</v>
      </c>
      <c r="F149" s="11">
        <f>(F145/F137)/9*1000</f>
        <v>13944.276094276094</v>
      </c>
      <c r="G149" s="21">
        <f t="shared" si="47"/>
        <v>1404.9641935428735</v>
      </c>
      <c r="H149" s="21">
        <f t="shared" si="48"/>
        <v>111.20447600845402</v>
      </c>
    </row>
    <row r="150" spans="1:8" ht="27.75" customHeight="1">
      <c r="A150" s="15" t="s">
        <v>29</v>
      </c>
      <c r="B150" s="13">
        <v>8031</v>
      </c>
      <c r="C150" s="269">
        <f>(C146/C138)/9*1000</f>
        <v>37411.111111111109</v>
      </c>
      <c r="D150" s="14">
        <f t="shared" ref="D150:F152" si="53">(D146/D138)/9*1000</f>
        <v>44922.222222222226</v>
      </c>
      <c r="E150" s="14">
        <f t="shared" si="53"/>
        <v>40422.222222222226</v>
      </c>
      <c r="F150" s="14">
        <f t="shared" si="53"/>
        <v>44922.222222222226</v>
      </c>
      <c r="G150" s="22">
        <f t="shared" si="47"/>
        <v>4500</v>
      </c>
      <c r="H150" s="22">
        <f t="shared" si="48"/>
        <v>111.13249037932931</v>
      </c>
    </row>
    <row r="151" spans="1:8" ht="27.75" customHeight="1">
      <c r="A151" s="15" t="s">
        <v>32</v>
      </c>
      <c r="B151" s="13">
        <v>8032</v>
      </c>
      <c r="C151" s="269">
        <f>(C147/C139)/9*1000</f>
        <v>23200.000000000004</v>
      </c>
      <c r="D151" s="14">
        <f t="shared" si="53"/>
        <v>26862.96296296296</v>
      </c>
      <c r="E151" s="14">
        <f t="shared" si="53"/>
        <v>24782.222222222223</v>
      </c>
      <c r="F151" s="14">
        <f t="shared" si="53"/>
        <v>26862.96296296296</v>
      </c>
      <c r="G151" s="22">
        <f t="shared" si="47"/>
        <v>2080.7407407407372</v>
      </c>
      <c r="H151" s="22">
        <f t="shared" si="48"/>
        <v>108.39610234337636</v>
      </c>
    </row>
    <row r="152" spans="1:8" ht="27.75" customHeight="1">
      <c r="A152" s="15" t="s">
        <v>30</v>
      </c>
      <c r="B152" s="13">
        <v>8033</v>
      </c>
      <c r="C152" s="269">
        <f>(C148/C140)/9*1000</f>
        <v>11281.642512077296</v>
      </c>
      <c r="D152" s="14">
        <f t="shared" si="53"/>
        <v>13376.265270506108</v>
      </c>
      <c r="E152" s="14">
        <f t="shared" si="53"/>
        <v>12072.833042466551</v>
      </c>
      <c r="F152" s="14">
        <f t="shared" si="53"/>
        <v>13376.265270506108</v>
      </c>
      <c r="G152" s="22">
        <f t="shared" si="47"/>
        <v>1303.4322280395572</v>
      </c>
      <c r="H152" s="22">
        <f t="shared" si="48"/>
        <v>110.79640730104272</v>
      </c>
    </row>
    <row r="153" spans="1:8" s="4" customFormat="1">
      <c r="A153" s="30"/>
      <c r="C153" s="270"/>
      <c r="D153" s="277"/>
      <c r="E153" s="275"/>
      <c r="F153" s="275"/>
      <c r="G153" s="31"/>
      <c r="H153" s="31"/>
    </row>
    <row r="154" spans="1:8" s="4" customFormat="1">
      <c r="A154" s="30"/>
      <c r="C154" s="270"/>
      <c r="D154" s="277"/>
      <c r="E154" s="275"/>
      <c r="F154" s="275"/>
      <c r="G154" s="31"/>
      <c r="H154" s="31"/>
    </row>
    <row r="155" spans="1:8" s="4" customFormat="1" ht="28.5" customHeight="1">
      <c r="A155" s="416" t="s">
        <v>320</v>
      </c>
      <c r="B155" s="417"/>
      <c r="C155" s="418"/>
      <c r="D155" s="419"/>
      <c r="E155" s="420"/>
      <c r="F155" s="421" t="s">
        <v>321</v>
      </c>
      <c r="G155" s="421"/>
      <c r="H155" s="223"/>
    </row>
    <row r="156" spans="1:8" s="4" customFormat="1">
      <c r="A156" s="250" t="s">
        <v>12</v>
      </c>
      <c r="B156" s="143"/>
      <c r="C156" s="353" t="s">
        <v>13</v>
      </c>
      <c r="D156" s="353"/>
      <c r="E156" s="144"/>
      <c r="F156" s="350" t="s">
        <v>322</v>
      </c>
      <c r="G156" s="350"/>
      <c r="H156" s="252"/>
    </row>
    <row r="157" spans="1:8" s="4" customFormat="1">
      <c r="A157" s="32"/>
      <c r="C157" s="271"/>
      <c r="D157" s="271"/>
      <c r="E157" s="276"/>
      <c r="F157" s="276"/>
      <c r="G157" s="3"/>
      <c r="H157" s="3"/>
    </row>
    <row r="158" spans="1:8" s="4" customFormat="1">
      <c r="A158" s="32"/>
      <c r="C158" s="271"/>
      <c r="D158" s="271"/>
      <c r="E158" s="276"/>
      <c r="F158" s="276"/>
      <c r="G158" s="3"/>
      <c r="H158" s="3"/>
    </row>
    <row r="159" spans="1:8" s="4" customFormat="1">
      <c r="A159" s="32"/>
      <c r="C159" s="271"/>
      <c r="D159" s="271"/>
      <c r="E159" s="276"/>
      <c r="F159" s="276"/>
      <c r="G159" s="3"/>
      <c r="H159" s="3"/>
    </row>
    <row r="160" spans="1:8" s="4" customFormat="1">
      <c r="A160" s="32"/>
      <c r="C160" s="271"/>
      <c r="D160" s="271"/>
      <c r="E160" s="276"/>
      <c r="F160" s="276"/>
      <c r="G160" s="3"/>
      <c r="H160" s="3"/>
    </row>
    <row r="161" spans="1:8" s="4" customFormat="1">
      <c r="A161" s="32"/>
      <c r="C161" s="271"/>
      <c r="D161" s="271"/>
      <c r="E161" s="276"/>
      <c r="F161" s="276"/>
      <c r="G161" s="3"/>
      <c r="H161" s="3"/>
    </row>
    <row r="162" spans="1:8" s="4" customFormat="1">
      <c r="A162" s="32"/>
      <c r="C162" s="271"/>
      <c r="D162" s="271"/>
      <c r="E162" s="276"/>
      <c r="F162" s="276"/>
      <c r="G162" s="3"/>
      <c r="H162" s="3"/>
    </row>
    <row r="163" spans="1:8" s="4" customFormat="1">
      <c r="A163" s="32"/>
      <c r="C163" s="271"/>
      <c r="D163" s="271"/>
      <c r="E163" s="276"/>
      <c r="F163" s="276"/>
      <c r="G163" s="3"/>
      <c r="H163" s="3"/>
    </row>
    <row r="164" spans="1:8" s="4" customFormat="1">
      <c r="A164" s="32"/>
      <c r="C164" s="271"/>
      <c r="D164" s="271"/>
      <c r="E164" s="276"/>
      <c r="F164" s="276"/>
      <c r="G164" s="3"/>
      <c r="H164" s="3"/>
    </row>
    <row r="165" spans="1:8" s="4" customFormat="1">
      <c r="A165" s="32"/>
      <c r="C165" s="271"/>
      <c r="D165" s="271"/>
      <c r="E165" s="276"/>
      <c r="F165" s="276"/>
      <c r="G165" s="3"/>
      <c r="H165" s="3"/>
    </row>
    <row r="166" spans="1:8" s="4" customFormat="1">
      <c r="A166" s="32"/>
      <c r="C166" s="271"/>
      <c r="D166" s="271"/>
      <c r="E166" s="276"/>
      <c r="F166" s="276"/>
      <c r="G166" s="3"/>
      <c r="H166" s="3"/>
    </row>
    <row r="167" spans="1:8" s="4" customFormat="1">
      <c r="A167" s="32"/>
      <c r="C167" s="271"/>
      <c r="D167" s="271"/>
      <c r="E167" s="276"/>
      <c r="F167" s="276"/>
      <c r="G167" s="3"/>
      <c r="H167" s="3"/>
    </row>
    <row r="168" spans="1:8" s="4" customFormat="1">
      <c r="A168" s="32"/>
      <c r="C168" s="271"/>
      <c r="D168" s="271"/>
      <c r="E168" s="276"/>
      <c r="F168" s="276"/>
      <c r="G168" s="3"/>
      <c r="H168" s="3"/>
    </row>
    <row r="169" spans="1:8" s="4" customFormat="1">
      <c r="A169" s="32"/>
      <c r="C169" s="271"/>
      <c r="D169" s="271"/>
      <c r="E169" s="276"/>
      <c r="F169" s="276"/>
      <c r="G169" s="3"/>
      <c r="H169" s="3"/>
    </row>
    <row r="170" spans="1:8" s="4" customFormat="1">
      <c r="A170" s="32"/>
      <c r="C170" s="271"/>
      <c r="D170" s="271"/>
      <c r="E170" s="276"/>
      <c r="F170" s="276"/>
      <c r="G170" s="3"/>
      <c r="H170" s="3"/>
    </row>
    <row r="171" spans="1:8" s="4" customFormat="1">
      <c r="A171" s="32"/>
      <c r="C171" s="271"/>
      <c r="D171" s="271"/>
      <c r="E171" s="276"/>
      <c r="F171" s="276"/>
      <c r="G171" s="3"/>
      <c r="H171" s="3"/>
    </row>
    <row r="172" spans="1:8" s="4" customFormat="1">
      <c r="A172" s="32"/>
      <c r="C172" s="271"/>
      <c r="D172" s="271"/>
      <c r="E172" s="276"/>
      <c r="F172" s="276"/>
      <c r="G172" s="3"/>
      <c r="H172" s="3"/>
    </row>
    <row r="173" spans="1:8" s="4" customFormat="1">
      <c r="A173" s="32"/>
      <c r="C173" s="271"/>
      <c r="D173" s="271"/>
      <c r="E173" s="276"/>
      <c r="F173" s="276"/>
      <c r="G173" s="3"/>
      <c r="H173" s="3"/>
    </row>
    <row r="174" spans="1:8" s="4" customFormat="1">
      <c r="A174" s="32"/>
      <c r="C174" s="271"/>
      <c r="D174" s="271"/>
      <c r="E174" s="276"/>
      <c r="F174" s="276"/>
      <c r="G174" s="3"/>
      <c r="H174" s="3"/>
    </row>
    <row r="175" spans="1:8" s="4" customFormat="1">
      <c r="A175" s="32"/>
      <c r="C175" s="271"/>
      <c r="D175" s="271"/>
      <c r="E175" s="276"/>
      <c r="F175" s="276"/>
      <c r="G175" s="3"/>
      <c r="H175" s="3"/>
    </row>
    <row r="176" spans="1:8" s="4" customFormat="1">
      <c r="A176" s="32"/>
      <c r="C176" s="271"/>
      <c r="D176" s="271"/>
      <c r="E176" s="276"/>
      <c r="F176" s="276"/>
      <c r="G176" s="3"/>
      <c r="H176" s="3"/>
    </row>
    <row r="177" spans="1:8" s="4" customFormat="1">
      <c r="A177" s="32"/>
      <c r="C177" s="271"/>
      <c r="D177" s="271"/>
      <c r="E177" s="276"/>
      <c r="F177" s="276"/>
      <c r="G177" s="3"/>
      <c r="H177" s="3"/>
    </row>
    <row r="178" spans="1:8" s="4" customFormat="1">
      <c r="A178" s="32"/>
      <c r="C178" s="271"/>
      <c r="D178" s="271"/>
      <c r="E178" s="276"/>
      <c r="F178" s="276"/>
      <c r="G178" s="3"/>
      <c r="H178" s="3"/>
    </row>
    <row r="179" spans="1:8" s="4" customFormat="1">
      <c r="A179" s="32"/>
      <c r="C179" s="271"/>
      <c r="D179" s="271"/>
      <c r="E179" s="276"/>
      <c r="F179" s="276"/>
      <c r="G179" s="3"/>
      <c r="H179" s="3"/>
    </row>
    <row r="180" spans="1:8" s="4" customFormat="1">
      <c r="A180" s="32"/>
      <c r="C180" s="271"/>
      <c r="D180" s="271"/>
      <c r="E180" s="276"/>
      <c r="F180" s="276"/>
      <c r="G180" s="3"/>
      <c r="H180" s="3"/>
    </row>
    <row r="181" spans="1:8" s="4" customFormat="1">
      <c r="A181" s="32"/>
      <c r="C181" s="271"/>
      <c r="D181" s="271"/>
      <c r="E181" s="276"/>
      <c r="F181" s="276"/>
      <c r="G181" s="3"/>
      <c r="H181" s="3"/>
    </row>
    <row r="182" spans="1:8" s="4" customFormat="1">
      <c r="A182" s="32"/>
      <c r="C182" s="271"/>
      <c r="D182" s="271"/>
      <c r="E182" s="276"/>
      <c r="F182" s="276"/>
      <c r="G182" s="3"/>
      <c r="H182" s="3"/>
    </row>
    <row r="183" spans="1:8" s="4" customFormat="1">
      <c r="A183" s="32"/>
      <c r="C183" s="271"/>
      <c r="D183" s="271"/>
      <c r="E183" s="276"/>
      <c r="F183" s="276"/>
      <c r="G183" s="3"/>
      <c r="H183" s="3"/>
    </row>
    <row r="184" spans="1:8" s="4" customFormat="1">
      <c r="A184" s="32"/>
      <c r="C184" s="271"/>
      <c r="D184" s="271"/>
      <c r="E184" s="276"/>
      <c r="F184" s="276"/>
      <c r="G184" s="3"/>
      <c r="H184" s="3"/>
    </row>
    <row r="185" spans="1:8" s="4" customFormat="1">
      <c r="A185" s="32"/>
      <c r="C185" s="271"/>
      <c r="D185" s="271"/>
      <c r="E185" s="276"/>
      <c r="F185" s="276"/>
      <c r="G185" s="3"/>
      <c r="H185" s="3"/>
    </row>
    <row r="186" spans="1:8" s="4" customFormat="1">
      <c r="A186" s="32"/>
      <c r="C186" s="271"/>
      <c r="D186" s="271"/>
      <c r="E186" s="276"/>
      <c r="F186" s="276"/>
      <c r="G186" s="3"/>
      <c r="H186" s="3"/>
    </row>
    <row r="187" spans="1:8" s="4" customFormat="1">
      <c r="A187" s="32"/>
      <c r="C187" s="271"/>
      <c r="D187" s="271"/>
      <c r="E187" s="276"/>
      <c r="F187" s="276"/>
      <c r="G187" s="3"/>
      <c r="H187" s="3"/>
    </row>
    <row r="188" spans="1:8" s="4" customFormat="1">
      <c r="A188" s="32"/>
      <c r="C188" s="271"/>
      <c r="D188" s="271"/>
      <c r="E188" s="276"/>
      <c r="F188" s="276"/>
      <c r="G188" s="3"/>
      <c r="H188" s="3"/>
    </row>
    <row r="189" spans="1:8" s="4" customFormat="1">
      <c r="A189" s="32"/>
      <c r="C189" s="271"/>
      <c r="D189" s="271"/>
      <c r="E189" s="276"/>
      <c r="F189" s="276"/>
      <c r="G189" s="3"/>
      <c r="H189" s="3"/>
    </row>
    <row r="190" spans="1:8" s="4" customFormat="1">
      <c r="A190" s="32"/>
      <c r="C190" s="271"/>
      <c r="D190" s="271"/>
      <c r="E190" s="276"/>
      <c r="F190" s="276"/>
      <c r="G190" s="3"/>
      <c r="H190" s="3"/>
    </row>
    <row r="191" spans="1:8" s="4" customFormat="1">
      <c r="A191" s="32"/>
      <c r="C191" s="271"/>
      <c r="D191" s="271"/>
      <c r="E191" s="276"/>
      <c r="F191" s="276"/>
      <c r="G191" s="3"/>
      <c r="H191" s="3"/>
    </row>
    <row r="192" spans="1:8" s="4" customFormat="1">
      <c r="A192" s="32"/>
      <c r="C192" s="271"/>
      <c r="D192" s="271"/>
      <c r="E192" s="276"/>
      <c r="F192" s="276"/>
      <c r="G192" s="3"/>
      <c r="H192" s="3"/>
    </row>
    <row r="193" spans="1:12" s="4" customFormat="1">
      <c r="A193" s="32"/>
      <c r="C193" s="271"/>
      <c r="D193" s="271"/>
      <c r="E193" s="276"/>
      <c r="F193" s="276"/>
      <c r="G193" s="3"/>
      <c r="H193" s="3"/>
      <c r="J193" s="4">
        <v>698.8</v>
      </c>
      <c r="K193" s="4">
        <v>395</v>
      </c>
      <c r="L193" s="4">
        <v>28</v>
      </c>
    </row>
    <row r="194" spans="1:12" s="4" customFormat="1">
      <c r="A194" s="32"/>
      <c r="C194" s="271"/>
      <c r="D194" s="271"/>
      <c r="E194" s="276"/>
      <c r="F194" s="276"/>
      <c r="G194" s="3"/>
      <c r="H194" s="3"/>
    </row>
    <row r="195" spans="1:12" s="4" customFormat="1">
      <c r="A195" s="32"/>
      <c r="C195" s="271"/>
      <c r="D195" s="271"/>
      <c r="E195" s="276"/>
      <c r="F195" s="276"/>
      <c r="G195" s="3"/>
      <c r="H195" s="3"/>
    </row>
    <row r="196" spans="1:12" s="4" customFormat="1">
      <c r="A196" s="32"/>
      <c r="C196" s="271"/>
      <c r="D196" s="271"/>
      <c r="E196" s="276"/>
      <c r="F196" s="276"/>
      <c r="G196" s="3"/>
      <c r="H196" s="3"/>
    </row>
    <row r="197" spans="1:12" s="4" customFormat="1">
      <c r="A197" s="32"/>
      <c r="C197" s="271"/>
      <c r="D197" s="271"/>
      <c r="E197" s="276"/>
      <c r="F197" s="276"/>
      <c r="G197" s="3"/>
      <c r="H197" s="3"/>
    </row>
    <row r="198" spans="1:12" s="4" customFormat="1">
      <c r="A198" s="32"/>
      <c r="C198" s="271"/>
      <c r="D198" s="271"/>
      <c r="E198" s="276"/>
      <c r="F198" s="276"/>
      <c r="G198" s="3"/>
      <c r="H198" s="3"/>
    </row>
    <row r="199" spans="1:12" s="4" customFormat="1">
      <c r="A199" s="32"/>
      <c r="C199" s="271"/>
      <c r="D199" s="271"/>
      <c r="E199" s="276"/>
      <c r="F199" s="276"/>
      <c r="G199" s="3"/>
      <c r="H199" s="3"/>
    </row>
    <row r="200" spans="1:12" s="4" customFormat="1">
      <c r="A200" s="32"/>
      <c r="C200" s="271"/>
      <c r="D200" s="271"/>
      <c r="E200" s="276"/>
      <c r="F200" s="276"/>
      <c r="G200" s="3"/>
      <c r="H200" s="3"/>
    </row>
    <row r="201" spans="1:12" s="4" customFormat="1">
      <c r="A201" s="32"/>
      <c r="C201" s="271"/>
      <c r="D201" s="271"/>
      <c r="E201" s="276"/>
      <c r="F201" s="276"/>
      <c r="G201" s="3"/>
      <c r="H201" s="3"/>
    </row>
    <row r="202" spans="1:12" s="4" customFormat="1">
      <c r="A202" s="32"/>
      <c r="C202" s="271"/>
      <c r="D202" s="271"/>
      <c r="E202" s="276"/>
      <c r="F202" s="276"/>
      <c r="G202" s="3"/>
      <c r="H202" s="3"/>
    </row>
    <row r="203" spans="1:12" s="4" customFormat="1">
      <c r="A203" s="32"/>
      <c r="C203" s="271"/>
      <c r="D203" s="271"/>
      <c r="E203" s="276"/>
      <c r="F203" s="276"/>
      <c r="G203" s="3"/>
      <c r="H203" s="3"/>
    </row>
    <row r="204" spans="1:12" s="4" customFormat="1">
      <c r="A204" s="32"/>
      <c r="C204" s="271"/>
      <c r="D204" s="271"/>
      <c r="E204" s="276"/>
      <c r="F204" s="276"/>
      <c r="G204" s="3"/>
      <c r="H204" s="3"/>
    </row>
    <row r="205" spans="1:12" s="4" customFormat="1">
      <c r="A205" s="32"/>
      <c r="C205" s="271"/>
      <c r="D205" s="271"/>
      <c r="E205" s="276"/>
      <c r="F205" s="276"/>
      <c r="G205" s="3"/>
      <c r="H205" s="3"/>
    </row>
    <row r="206" spans="1:12" s="4" customFormat="1">
      <c r="A206" s="32"/>
      <c r="C206" s="271"/>
      <c r="D206" s="271"/>
      <c r="E206" s="276"/>
      <c r="F206" s="276"/>
      <c r="G206" s="3"/>
      <c r="H206" s="3"/>
    </row>
    <row r="207" spans="1:12" s="4" customFormat="1">
      <c r="A207" s="32"/>
      <c r="C207" s="271"/>
      <c r="D207" s="271"/>
      <c r="E207" s="276"/>
      <c r="F207" s="276"/>
      <c r="G207" s="3"/>
      <c r="H207" s="3"/>
    </row>
    <row r="208" spans="1:12" s="4" customFormat="1">
      <c r="A208" s="32"/>
      <c r="C208" s="271"/>
      <c r="D208" s="271"/>
      <c r="E208" s="276"/>
      <c r="F208" s="276"/>
      <c r="G208" s="3"/>
      <c r="H208" s="3"/>
    </row>
    <row r="209" spans="1:8" s="4" customFormat="1">
      <c r="A209" s="32"/>
      <c r="C209" s="271"/>
      <c r="D209" s="271"/>
      <c r="E209" s="276"/>
      <c r="F209" s="276"/>
      <c r="G209" s="3"/>
      <c r="H209" s="3"/>
    </row>
    <row r="210" spans="1:8" s="4" customFormat="1">
      <c r="A210" s="32"/>
      <c r="C210" s="271"/>
      <c r="D210" s="271"/>
      <c r="E210" s="276"/>
      <c r="F210" s="276"/>
      <c r="G210" s="3"/>
      <c r="H210" s="3"/>
    </row>
    <row r="211" spans="1:8" s="4" customFormat="1">
      <c r="A211" s="32"/>
      <c r="C211" s="271"/>
      <c r="D211" s="271"/>
      <c r="E211" s="276"/>
      <c r="F211" s="276"/>
      <c r="G211" s="3"/>
      <c r="H211" s="3"/>
    </row>
    <row r="212" spans="1:8" s="4" customFormat="1">
      <c r="A212" s="32"/>
      <c r="C212" s="271"/>
      <c r="D212" s="271"/>
      <c r="E212" s="276"/>
      <c r="F212" s="276"/>
      <c r="G212" s="3"/>
      <c r="H212" s="3"/>
    </row>
    <row r="213" spans="1:8" s="4" customFormat="1">
      <c r="A213" s="32"/>
      <c r="C213" s="271"/>
      <c r="D213" s="271"/>
      <c r="E213" s="276"/>
      <c r="F213" s="276"/>
      <c r="G213" s="3"/>
      <c r="H213" s="3"/>
    </row>
    <row r="214" spans="1:8" s="4" customFormat="1">
      <c r="A214" s="32"/>
      <c r="C214" s="271"/>
      <c r="D214" s="271"/>
      <c r="E214" s="276"/>
      <c r="F214" s="276"/>
      <c r="G214" s="3"/>
      <c r="H214" s="3"/>
    </row>
    <row r="215" spans="1:8" s="4" customFormat="1">
      <c r="A215" s="32"/>
      <c r="C215" s="271"/>
      <c r="D215" s="271"/>
      <c r="E215" s="276"/>
      <c r="F215" s="276"/>
      <c r="G215" s="3"/>
      <c r="H215" s="3"/>
    </row>
    <row r="216" spans="1:8" s="4" customFormat="1">
      <c r="A216" s="32"/>
      <c r="C216" s="271"/>
      <c r="D216" s="271"/>
      <c r="E216" s="276"/>
      <c r="F216" s="276"/>
      <c r="G216" s="3"/>
      <c r="H216" s="3"/>
    </row>
    <row r="217" spans="1:8" s="4" customFormat="1">
      <c r="A217" s="32"/>
      <c r="C217" s="271"/>
      <c r="D217" s="271"/>
      <c r="E217" s="276"/>
      <c r="F217" s="276"/>
      <c r="G217" s="3"/>
      <c r="H217" s="3"/>
    </row>
    <row r="218" spans="1:8" s="4" customFormat="1">
      <c r="A218" s="32"/>
      <c r="C218" s="271"/>
      <c r="D218" s="271"/>
      <c r="E218" s="276"/>
      <c r="F218" s="276"/>
      <c r="G218" s="3"/>
      <c r="H218" s="3"/>
    </row>
    <row r="219" spans="1:8" s="4" customFormat="1">
      <c r="A219" s="32"/>
      <c r="C219" s="271"/>
      <c r="D219" s="271"/>
      <c r="E219" s="276"/>
      <c r="F219" s="276"/>
      <c r="G219" s="3"/>
      <c r="H219" s="3"/>
    </row>
    <row r="220" spans="1:8" s="4" customFormat="1">
      <c r="A220" s="32"/>
      <c r="C220" s="271"/>
      <c r="D220" s="271"/>
      <c r="E220" s="276"/>
      <c r="F220" s="276"/>
      <c r="G220" s="3"/>
      <c r="H220" s="3"/>
    </row>
    <row r="221" spans="1:8" s="4" customFormat="1">
      <c r="A221" s="32"/>
      <c r="C221" s="271"/>
      <c r="D221" s="271"/>
      <c r="E221" s="276"/>
      <c r="F221" s="276"/>
      <c r="G221" s="3"/>
      <c r="H221" s="3"/>
    </row>
    <row r="222" spans="1:8" s="4" customFormat="1">
      <c r="A222" s="32"/>
      <c r="C222" s="271"/>
      <c r="D222" s="271"/>
      <c r="E222" s="276"/>
      <c r="F222" s="276"/>
      <c r="G222" s="3"/>
      <c r="H222" s="3"/>
    </row>
    <row r="223" spans="1:8" s="4" customFormat="1">
      <c r="A223" s="32"/>
      <c r="C223" s="271"/>
      <c r="D223" s="271"/>
      <c r="E223" s="276"/>
      <c r="F223" s="276"/>
      <c r="G223" s="3"/>
      <c r="H223" s="3"/>
    </row>
    <row r="224" spans="1:8" s="4" customFormat="1">
      <c r="A224" s="32"/>
      <c r="C224" s="271"/>
      <c r="D224" s="271"/>
      <c r="E224" s="276"/>
      <c r="F224" s="276"/>
      <c r="G224" s="3"/>
      <c r="H224" s="3"/>
    </row>
    <row r="225" spans="1:8" s="4" customFormat="1">
      <c r="A225" s="32"/>
      <c r="C225" s="271"/>
      <c r="D225" s="271"/>
      <c r="E225" s="276"/>
      <c r="F225" s="276"/>
      <c r="G225" s="3"/>
      <c r="H225" s="3"/>
    </row>
    <row r="226" spans="1:8" s="4" customFormat="1">
      <c r="A226" s="32"/>
      <c r="C226" s="271"/>
      <c r="D226" s="271"/>
      <c r="E226" s="276"/>
      <c r="F226" s="276"/>
      <c r="G226" s="3"/>
      <c r="H226" s="3"/>
    </row>
    <row r="227" spans="1:8" s="4" customFormat="1">
      <c r="A227" s="32"/>
      <c r="C227" s="271"/>
      <c r="D227" s="271"/>
      <c r="E227" s="276"/>
      <c r="F227" s="276"/>
      <c r="G227" s="3"/>
      <c r="H227" s="3"/>
    </row>
    <row r="228" spans="1:8" s="4" customFormat="1">
      <c r="A228" s="32"/>
      <c r="C228" s="271"/>
      <c r="D228" s="271"/>
      <c r="E228" s="276"/>
      <c r="F228" s="276"/>
      <c r="G228" s="3"/>
      <c r="H228" s="3"/>
    </row>
    <row r="229" spans="1:8" s="4" customFormat="1">
      <c r="A229" s="32"/>
      <c r="C229" s="271"/>
      <c r="D229" s="271"/>
      <c r="E229" s="276"/>
      <c r="F229" s="276"/>
      <c r="G229" s="3"/>
      <c r="H229" s="3"/>
    </row>
    <row r="230" spans="1:8" s="4" customFormat="1">
      <c r="A230" s="32"/>
      <c r="C230" s="271"/>
      <c r="D230" s="271"/>
      <c r="E230" s="276"/>
      <c r="F230" s="276"/>
      <c r="G230" s="3"/>
      <c r="H230" s="3"/>
    </row>
    <row r="231" spans="1:8" s="4" customFormat="1">
      <c r="A231" s="32"/>
      <c r="C231" s="271"/>
      <c r="D231" s="271"/>
      <c r="E231" s="276"/>
      <c r="F231" s="276"/>
      <c r="G231" s="3"/>
      <c r="H231" s="3"/>
    </row>
    <row r="232" spans="1:8" s="4" customFormat="1">
      <c r="A232" s="32"/>
      <c r="C232" s="271"/>
      <c r="D232" s="271"/>
      <c r="E232" s="276"/>
      <c r="F232" s="276"/>
      <c r="G232" s="3"/>
      <c r="H232" s="3"/>
    </row>
    <row r="233" spans="1:8" s="4" customFormat="1">
      <c r="A233" s="32"/>
      <c r="C233" s="271"/>
      <c r="D233" s="271"/>
      <c r="E233" s="276"/>
      <c r="F233" s="276"/>
      <c r="G233" s="3"/>
      <c r="H233" s="3"/>
    </row>
    <row r="234" spans="1:8" s="4" customFormat="1">
      <c r="A234" s="32"/>
      <c r="C234" s="271"/>
      <c r="D234" s="271"/>
      <c r="E234" s="276"/>
      <c r="F234" s="276"/>
      <c r="G234" s="3"/>
      <c r="H234" s="3"/>
    </row>
    <row r="235" spans="1:8" s="4" customFormat="1">
      <c r="A235" s="32"/>
      <c r="C235" s="271"/>
      <c r="D235" s="271"/>
      <c r="E235" s="276"/>
      <c r="F235" s="276"/>
      <c r="G235" s="3"/>
      <c r="H235" s="3"/>
    </row>
    <row r="236" spans="1:8" s="4" customFormat="1">
      <c r="A236" s="32"/>
      <c r="C236" s="271"/>
      <c r="D236" s="271"/>
      <c r="E236" s="276"/>
      <c r="F236" s="276"/>
      <c r="G236" s="3"/>
      <c r="H236" s="3"/>
    </row>
    <row r="237" spans="1:8" s="4" customFormat="1">
      <c r="A237" s="32"/>
      <c r="C237" s="271"/>
      <c r="D237" s="271"/>
      <c r="E237" s="276"/>
      <c r="F237" s="276"/>
      <c r="G237" s="3"/>
      <c r="H237" s="3"/>
    </row>
    <row r="238" spans="1:8" s="4" customFormat="1">
      <c r="A238" s="32"/>
      <c r="C238" s="271"/>
      <c r="D238" s="271"/>
      <c r="E238" s="276"/>
      <c r="F238" s="276"/>
      <c r="G238" s="3"/>
      <c r="H238" s="3"/>
    </row>
    <row r="239" spans="1:8" s="4" customFormat="1">
      <c r="A239" s="32"/>
      <c r="C239" s="271"/>
      <c r="D239" s="271"/>
      <c r="E239" s="276"/>
      <c r="F239" s="276"/>
      <c r="G239" s="3"/>
      <c r="H239" s="3"/>
    </row>
    <row r="240" spans="1:8" s="4" customFormat="1">
      <c r="A240" s="32"/>
      <c r="C240" s="271"/>
      <c r="D240" s="271"/>
      <c r="E240" s="276"/>
      <c r="F240" s="276"/>
      <c r="G240" s="3"/>
      <c r="H240" s="3"/>
    </row>
    <row r="241" spans="1:8" s="4" customFormat="1">
      <c r="A241" s="32"/>
      <c r="C241" s="271"/>
      <c r="D241" s="271"/>
      <c r="E241" s="276"/>
      <c r="F241" s="276"/>
      <c r="G241" s="3"/>
      <c r="H241" s="3"/>
    </row>
    <row r="242" spans="1:8" s="4" customFormat="1">
      <c r="A242" s="32"/>
      <c r="C242" s="271"/>
      <c r="D242" s="271"/>
      <c r="E242" s="276"/>
      <c r="F242" s="276"/>
      <c r="G242" s="3"/>
      <c r="H242" s="3"/>
    </row>
    <row r="243" spans="1:8" s="4" customFormat="1">
      <c r="A243" s="32"/>
      <c r="C243" s="271"/>
      <c r="D243" s="271"/>
      <c r="E243" s="276"/>
      <c r="F243" s="276"/>
      <c r="G243" s="3"/>
      <c r="H243" s="3"/>
    </row>
    <row r="244" spans="1:8" s="4" customFormat="1">
      <c r="A244" s="32"/>
      <c r="C244" s="271"/>
      <c r="D244" s="271"/>
      <c r="E244" s="276"/>
      <c r="F244" s="276"/>
      <c r="G244" s="3"/>
      <c r="H244" s="3"/>
    </row>
    <row r="245" spans="1:8" s="4" customFormat="1">
      <c r="A245" s="32"/>
      <c r="C245" s="271"/>
      <c r="D245" s="271"/>
      <c r="E245" s="276"/>
      <c r="F245" s="276"/>
      <c r="G245" s="3"/>
      <c r="H245" s="3"/>
    </row>
    <row r="246" spans="1:8" s="4" customFormat="1">
      <c r="A246" s="32"/>
      <c r="C246" s="271"/>
      <c r="D246" s="271"/>
      <c r="E246" s="276"/>
      <c r="F246" s="276"/>
      <c r="G246" s="3"/>
      <c r="H246" s="3"/>
    </row>
    <row r="247" spans="1:8" s="4" customFormat="1">
      <c r="A247" s="32"/>
      <c r="C247" s="271"/>
      <c r="D247" s="271"/>
      <c r="E247" s="276"/>
      <c r="F247" s="276"/>
      <c r="G247" s="3"/>
      <c r="H247" s="3"/>
    </row>
    <row r="248" spans="1:8" s="4" customFormat="1">
      <c r="A248" s="32"/>
      <c r="C248" s="271"/>
      <c r="D248" s="271"/>
      <c r="E248" s="276"/>
      <c r="F248" s="276"/>
      <c r="G248" s="3"/>
      <c r="H248" s="3"/>
    </row>
    <row r="249" spans="1:8" s="4" customFormat="1">
      <c r="A249" s="32"/>
      <c r="C249" s="271"/>
      <c r="D249" s="271"/>
      <c r="E249" s="276"/>
      <c r="F249" s="276"/>
      <c r="G249" s="3"/>
      <c r="H249" s="3"/>
    </row>
    <row r="250" spans="1:8" s="4" customFormat="1">
      <c r="A250" s="32"/>
      <c r="C250" s="271"/>
      <c r="D250" s="271"/>
      <c r="E250" s="276"/>
      <c r="F250" s="276"/>
      <c r="G250" s="3"/>
      <c r="H250" s="3"/>
    </row>
    <row r="251" spans="1:8" s="4" customFormat="1">
      <c r="A251" s="32"/>
      <c r="C251" s="271"/>
      <c r="D251" s="271"/>
      <c r="E251" s="276"/>
      <c r="F251" s="276"/>
      <c r="G251" s="3"/>
      <c r="H251" s="3"/>
    </row>
    <row r="252" spans="1:8" s="4" customFormat="1">
      <c r="A252" s="32"/>
      <c r="C252" s="271"/>
      <c r="D252" s="271"/>
      <c r="E252" s="276"/>
      <c r="F252" s="276"/>
      <c r="G252" s="3"/>
      <c r="H252" s="3"/>
    </row>
    <row r="253" spans="1:8" s="4" customFormat="1">
      <c r="A253" s="32"/>
      <c r="C253" s="271"/>
      <c r="D253" s="271"/>
      <c r="E253" s="276"/>
      <c r="F253" s="276"/>
      <c r="G253" s="3"/>
      <c r="H253" s="3"/>
    </row>
    <row r="254" spans="1:8" s="4" customFormat="1">
      <c r="A254" s="32"/>
      <c r="C254" s="271"/>
      <c r="D254" s="271"/>
      <c r="E254" s="276"/>
      <c r="F254" s="276"/>
      <c r="G254" s="3"/>
      <c r="H254" s="3"/>
    </row>
    <row r="255" spans="1:8" s="4" customFormat="1">
      <c r="A255" s="32"/>
      <c r="C255" s="271"/>
      <c r="D255" s="271"/>
      <c r="E255" s="276"/>
      <c r="F255" s="276"/>
      <c r="G255" s="3"/>
      <c r="H255" s="3"/>
    </row>
    <row r="256" spans="1:8" s="4" customFormat="1">
      <c r="A256" s="32"/>
      <c r="C256" s="271"/>
      <c r="D256" s="271"/>
      <c r="E256" s="276"/>
      <c r="F256" s="276"/>
      <c r="G256" s="3"/>
      <c r="H256" s="3"/>
    </row>
    <row r="257" spans="1:8" s="4" customFormat="1">
      <c r="A257" s="32"/>
      <c r="C257" s="271"/>
      <c r="D257" s="271"/>
      <c r="E257" s="276"/>
      <c r="F257" s="276"/>
      <c r="G257" s="3"/>
      <c r="H257" s="3"/>
    </row>
    <row r="258" spans="1:8" s="4" customFormat="1">
      <c r="A258" s="32"/>
      <c r="C258" s="271"/>
      <c r="D258" s="271"/>
      <c r="E258" s="276"/>
      <c r="F258" s="276"/>
      <c r="G258" s="3"/>
      <c r="H258" s="3"/>
    </row>
    <row r="259" spans="1:8" s="4" customFormat="1">
      <c r="A259" s="32"/>
      <c r="C259" s="271"/>
      <c r="D259" s="271"/>
      <c r="E259" s="276"/>
      <c r="F259" s="276"/>
      <c r="G259" s="3"/>
      <c r="H259" s="3"/>
    </row>
    <row r="260" spans="1:8" s="4" customFormat="1">
      <c r="A260" s="32"/>
      <c r="C260" s="271"/>
      <c r="D260" s="271"/>
      <c r="E260" s="276"/>
      <c r="F260" s="276"/>
      <c r="G260" s="3"/>
      <c r="H260" s="3"/>
    </row>
    <row r="261" spans="1:8" s="4" customFormat="1">
      <c r="A261" s="32"/>
      <c r="C261" s="271"/>
      <c r="D261" s="271"/>
      <c r="E261" s="276"/>
      <c r="F261" s="276"/>
      <c r="G261" s="3"/>
      <c r="H261" s="3"/>
    </row>
    <row r="262" spans="1:8" s="4" customFormat="1">
      <c r="A262" s="32"/>
      <c r="C262" s="271"/>
      <c r="D262" s="271"/>
      <c r="E262" s="276"/>
      <c r="F262" s="276"/>
      <c r="G262" s="3"/>
      <c r="H262" s="3"/>
    </row>
    <row r="263" spans="1:8" s="4" customFormat="1">
      <c r="A263" s="32"/>
      <c r="C263" s="271"/>
      <c r="D263" s="271"/>
      <c r="E263" s="276"/>
      <c r="F263" s="276"/>
      <c r="G263" s="3"/>
      <c r="H263" s="3"/>
    </row>
    <row r="264" spans="1:8" s="4" customFormat="1">
      <c r="A264" s="32"/>
      <c r="C264" s="271"/>
      <c r="D264" s="271"/>
      <c r="E264" s="276"/>
      <c r="F264" s="276"/>
      <c r="G264" s="3"/>
      <c r="H264" s="3"/>
    </row>
    <row r="265" spans="1:8" s="4" customFormat="1">
      <c r="A265" s="32"/>
      <c r="C265" s="271"/>
      <c r="D265" s="271"/>
      <c r="E265" s="276"/>
      <c r="F265" s="276"/>
      <c r="G265" s="3"/>
      <c r="H265" s="3"/>
    </row>
    <row r="266" spans="1:8" s="4" customFormat="1">
      <c r="A266" s="32"/>
      <c r="C266" s="271"/>
      <c r="D266" s="271"/>
      <c r="E266" s="276"/>
      <c r="F266" s="276"/>
      <c r="G266" s="3"/>
      <c r="H266" s="3"/>
    </row>
    <row r="267" spans="1:8" s="4" customFormat="1">
      <c r="A267" s="32"/>
      <c r="C267" s="271"/>
      <c r="D267" s="271"/>
      <c r="E267" s="276"/>
      <c r="F267" s="276"/>
      <c r="G267" s="3"/>
      <c r="H267" s="3"/>
    </row>
    <row r="268" spans="1:8" s="4" customFormat="1">
      <c r="A268" s="32"/>
      <c r="C268" s="271"/>
      <c r="D268" s="271"/>
      <c r="E268" s="276"/>
      <c r="F268" s="276"/>
      <c r="G268" s="3"/>
      <c r="H268" s="3"/>
    </row>
    <row r="269" spans="1:8" s="4" customFormat="1">
      <c r="A269" s="32"/>
      <c r="C269" s="271"/>
      <c r="D269" s="271"/>
      <c r="E269" s="276"/>
      <c r="F269" s="276"/>
      <c r="G269" s="3"/>
      <c r="H269" s="3"/>
    </row>
    <row r="270" spans="1:8" s="4" customFormat="1">
      <c r="A270" s="32"/>
      <c r="C270" s="271"/>
      <c r="D270" s="271"/>
      <c r="E270" s="276"/>
      <c r="F270" s="276"/>
      <c r="G270" s="3"/>
      <c r="H270" s="3"/>
    </row>
    <row r="271" spans="1:8" s="4" customFormat="1">
      <c r="A271" s="32"/>
      <c r="C271" s="271"/>
      <c r="D271" s="271"/>
      <c r="E271" s="276"/>
      <c r="F271" s="276"/>
      <c r="G271" s="3"/>
      <c r="H271" s="3"/>
    </row>
    <row r="272" spans="1:8" s="4" customFormat="1">
      <c r="A272" s="32"/>
      <c r="C272" s="271"/>
      <c r="D272" s="271"/>
      <c r="E272" s="276"/>
      <c r="F272" s="276"/>
      <c r="G272" s="3"/>
      <c r="H272" s="3"/>
    </row>
    <row r="273" spans="1:8" s="4" customFormat="1">
      <c r="A273" s="32"/>
      <c r="C273" s="271"/>
      <c r="D273" s="271"/>
      <c r="E273" s="276"/>
      <c r="F273" s="276"/>
      <c r="G273" s="3"/>
      <c r="H273" s="3"/>
    </row>
    <row r="274" spans="1:8" s="4" customFormat="1">
      <c r="A274" s="32"/>
      <c r="C274" s="271"/>
      <c r="D274" s="271"/>
      <c r="E274" s="276"/>
      <c r="F274" s="276"/>
      <c r="G274" s="3"/>
      <c r="H274" s="3"/>
    </row>
    <row r="275" spans="1:8" s="4" customFormat="1">
      <c r="A275" s="32"/>
      <c r="C275" s="271"/>
      <c r="D275" s="271"/>
      <c r="E275" s="276"/>
      <c r="F275" s="276"/>
      <c r="G275" s="3"/>
      <c r="H275" s="3"/>
    </row>
    <row r="276" spans="1:8" s="4" customFormat="1">
      <c r="A276" s="32"/>
      <c r="C276" s="271"/>
      <c r="D276" s="271"/>
      <c r="E276" s="276"/>
      <c r="F276" s="276"/>
      <c r="G276" s="3"/>
      <c r="H276" s="3"/>
    </row>
    <row r="277" spans="1:8" s="4" customFormat="1">
      <c r="A277" s="32"/>
      <c r="C277" s="271"/>
      <c r="D277" s="271"/>
      <c r="E277" s="276"/>
      <c r="F277" s="276"/>
      <c r="G277" s="3"/>
      <c r="H277" s="3"/>
    </row>
    <row r="278" spans="1:8" s="4" customFormat="1">
      <c r="A278" s="32"/>
      <c r="C278" s="271"/>
      <c r="D278" s="271"/>
      <c r="E278" s="276"/>
      <c r="F278" s="276"/>
      <c r="G278" s="3"/>
      <c r="H278" s="3"/>
    </row>
    <row r="279" spans="1:8" s="4" customFormat="1">
      <c r="A279" s="32"/>
      <c r="C279" s="271"/>
      <c r="D279" s="271"/>
      <c r="E279" s="276"/>
      <c r="F279" s="276"/>
      <c r="G279" s="3"/>
      <c r="H279" s="3"/>
    </row>
    <row r="280" spans="1:8" s="4" customFormat="1">
      <c r="A280" s="32"/>
      <c r="C280" s="271"/>
      <c r="D280" s="271"/>
      <c r="E280" s="276"/>
      <c r="F280" s="276"/>
      <c r="G280" s="3"/>
      <c r="H280" s="3"/>
    </row>
    <row r="281" spans="1:8" s="4" customFormat="1">
      <c r="A281" s="32"/>
      <c r="C281" s="271"/>
      <c r="D281" s="271"/>
      <c r="E281" s="276"/>
      <c r="F281" s="276"/>
      <c r="G281" s="3"/>
      <c r="H281" s="3"/>
    </row>
    <row r="282" spans="1:8" s="4" customFormat="1">
      <c r="A282" s="32"/>
      <c r="C282" s="271"/>
      <c r="D282" s="271"/>
      <c r="E282" s="276"/>
      <c r="F282" s="276"/>
      <c r="G282" s="3"/>
      <c r="H282" s="3"/>
    </row>
    <row r="283" spans="1:8" s="4" customFormat="1">
      <c r="A283" s="32"/>
      <c r="C283" s="271"/>
      <c r="D283" s="271"/>
      <c r="E283" s="276"/>
      <c r="F283" s="276"/>
      <c r="G283" s="3"/>
      <c r="H283" s="3"/>
    </row>
    <row r="284" spans="1:8" s="4" customFormat="1">
      <c r="A284" s="32"/>
      <c r="C284" s="271"/>
      <c r="D284" s="271"/>
      <c r="E284" s="276"/>
      <c r="F284" s="276"/>
      <c r="G284" s="3"/>
      <c r="H284" s="3"/>
    </row>
    <row r="285" spans="1:8" s="4" customFormat="1">
      <c r="A285" s="32"/>
      <c r="C285" s="271"/>
      <c r="D285" s="271"/>
      <c r="E285" s="276"/>
      <c r="F285" s="276"/>
      <c r="G285" s="3"/>
      <c r="H285" s="3"/>
    </row>
    <row r="286" spans="1:8" s="4" customFormat="1">
      <c r="A286" s="32"/>
      <c r="C286" s="271"/>
      <c r="D286" s="271"/>
      <c r="E286" s="276"/>
      <c r="F286" s="276"/>
      <c r="G286" s="3"/>
      <c r="H286" s="3"/>
    </row>
    <row r="287" spans="1:8" s="4" customFormat="1">
      <c r="A287" s="32"/>
      <c r="C287" s="271"/>
      <c r="D287" s="271"/>
      <c r="E287" s="276"/>
      <c r="F287" s="276"/>
      <c r="G287" s="3"/>
      <c r="H287" s="3"/>
    </row>
    <row r="288" spans="1:8" s="4" customFormat="1">
      <c r="A288" s="32"/>
      <c r="C288" s="271"/>
      <c r="D288" s="271"/>
      <c r="E288" s="276"/>
      <c r="F288" s="276"/>
      <c r="G288" s="3"/>
      <c r="H288" s="3"/>
    </row>
    <row r="289" spans="1:8" s="4" customFormat="1">
      <c r="A289" s="32"/>
      <c r="C289" s="271"/>
      <c r="D289" s="271"/>
      <c r="E289" s="276"/>
      <c r="F289" s="276"/>
      <c r="G289" s="3"/>
      <c r="H289" s="3"/>
    </row>
    <row r="290" spans="1:8" s="4" customFormat="1">
      <c r="A290" s="32"/>
      <c r="C290" s="271"/>
      <c r="D290" s="271"/>
      <c r="E290" s="276"/>
      <c r="F290" s="276"/>
      <c r="G290" s="3"/>
      <c r="H290" s="3"/>
    </row>
    <row r="291" spans="1:8" s="4" customFormat="1">
      <c r="A291" s="32"/>
      <c r="C291" s="271"/>
      <c r="D291" s="271"/>
      <c r="E291" s="276"/>
      <c r="F291" s="276"/>
      <c r="G291" s="3"/>
      <c r="H291" s="3"/>
    </row>
    <row r="292" spans="1:8" s="4" customFormat="1">
      <c r="A292" s="32"/>
      <c r="C292" s="271"/>
      <c r="D292" s="271"/>
      <c r="E292" s="276"/>
      <c r="F292" s="276"/>
      <c r="G292" s="3"/>
      <c r="H292" s="3"/>
    </row>
    <row r="293" spans="1:8" s="4" customFormat="1">
      <c r="A293" s="32"/>
      <c r="C293" s="271"/>
      <c r="D293" s="271"/>
      <c r="E293" s="276"/>
      <c r="F293" s="276"/>
      <c r="G293" s="3"/>
      <c r="H293" s="3"/>
    </row>
    <row r="294" spans="1:8" s="4" customFormat="1">
      <c r="A294" s="32"/>
      <c r="C294" s="271"/>
      <c r="D294" s="271"/>
      <c r="E294" s="276"/>
      <c r="F294" s="276"/>
      <c r="G294" s="3"/>
      <c r="H294" s="3"/>
    </row>
    <row r="295" spans="1:8" s="4" customFormat="1">
      <c r="A295" s="32"/>
      <c r="C295" s="271"/>
      <c r="D295" s="271"/>
      <c r="E295" s="276"/>
      <c r="F295" s="276"/>
      <c r="G295" s="3"/>
      <c r="H295" s="3"/>
    </row>
    <row r="296" spans="1:8" s="4" customFormat="1">
      <c r="A296" s="32"/>
      <c r="C296" s="271"/>
      <c r="D296" s="271"/>
      <c r="E296" s="276"/>
      <c r="F296" s="276"/>
      <c r="G296" s="3"/>
      <c r="H296" s="3"/>
    </row>
    <row r="297" spans="1:8" s="4" customFormat="1">
      <c r="A297" s="32"/>
      <c r="C297" s="271"/>
      <c r="D297" s="271"/>
      <c r="E297" s="276"/>
      <c r="F297" s="276"/>
      <c r="G297" s="3"/>
      <c r="H297" s="3"/>
    </row>
    <row r="298" spans="1:8" s="4" customFormat="1">
      <c r="A298" s="32"/>
      <c r="C298" s="271"/>
      <c r="D298" s="271"/>
      <c r="E298" s="276"/>
      <c r="F298" s="276"/>
      <c r="G298" s="3"/>
      <c r="H298" s="3"/>
    </row>
    <row r="299" spans="1:8" s="4" customFormat="1">
      <c r="A299" s="32"/>
      <c r="C299" s="271"/>
      <c r="D299" s="271"/>
      <c r="E299" s="276"/>
      <c r="F299" s="276"/>
      <c r="G299" s="3"/>
      <c r="H299" s="3"/>
    </row>
    <row r="300" spans="1:8" s="4" customFormat="1">
      <c r="A300" s="32"/>
      <c r="C300" s="271"/>
      <c r="D300" s="271"/>
      <c r="E300" s="276"/>
      <c r="F300" s="276"/>
      <c r="G300" s="3"/>
      <c r="H300" s="3"/>
    </row>
    <row r="301" spans="1:8" s="4" customFormat="1">
      <c r="A301" s="32"/>
      <c r="C301" s="271"/>
      <c r="D301" s="271"/>
      <c r="E301" s="276"/>
      <c r="F301" s="276"/>
      <c r="G301" s="3"/>
      <c r="H301" s="3"/>
    </row>
    <row r="302" spans="1:8" s="4" customFormat="1">
      <c r="A302" s="32"/>
      <c r="C302" s="271"/>
      <c r="D302" s="271"/>
      <c r="E302" s="276"/>
      <c r="F302" s="276"/>
      <c r="G302" s="3"/>
      <c r="H302" s="3"/>
    </row>
    <row r="303" spans="1:8" s="4" customFormat="1">
      <c r="A303" s="32"/>
      <c r="C303" s="271"/>
      <c r="D303" s="271"/>
      <c r="E303" s="276"/>
      <c r="F303" s="276"/>
      <c r="G303" s="3"/>
      <c r="H303" s="3"/>
    </row>
    <row r="304" spans="1:8" s="4" customFormat="1">
      <c r="A304" s="32"/>
      <c r="C304" s="271"/>
      <c r="D304" s="271"/>
      <c r="E304" s="276"/>
      <c r="F304" s="276"/>
      <c r="G304" s="3"/>
      <c r="H304" s="3"/>
    </row>
    <row r="305" spans="1:8" s="4" customFormat="1">
      <c r="A305" s="32"/>
      <c r="C305" s="271"/>
      <c r="D305" s="271"/>
      <c r="E305" s="276"/>
      <c r="F305" s="276"/>
      <c r="G305" s="3"/>
      <c r="H305" s="3"/>
    </row>
    <row r="306" spans="1:8" s="4" customFormat="1">
      <c r="A306" s="32"/>
      <c r="C306" s="271"/>
      <c r="D306" s="271"/>
      <c r="E306" s="276"/>
      <c r="F306" s="276"/>
      <c r="G306" s="3"/>
      <c r="H306" s="3"/>
    </row>
    <row r="307" spans="1:8" s="4" customFormat="1">
      <c r="A307" s="32"/>
      <c r="C307" s="271"/>
      <c r="D307" s="271"/>
      <c r="E307" s="276"/>
      <c r="F307" s="276"/>
      <c r="G307" s="3"/>
      <c r="H307" s="3"/>
    </row>
  </sheetData>
  <mergeCells count="16">
    <mergeCell ref="F155:G155"/>
    <mergeCell ref="F156:G156"/>
    <mergeCell ref="A2:H2"/>
    <mergeCell ref="A1:H1"/>
    <mergeCell ref="C156:D156"/>
    <mergeCell ref="C155:D155"/>
    <mergeCell ref="A69:H69"/>
    <mergeCell ref="A136:H136"/>
    <mergeCell ref="A51:H51"/>
    <mergeCell ref="A118:H118"/>
    <mergeCell ref="A127:H127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2" fitToHeight="7" orientation="landscape" verticalDpi="300" r:id="rId1"/>
  <headerFooter alignWithMargins="0"/>
  <rowBreaks count="1" manualBreakCount="1">
    <brk id="125" max="7" man="1"/>
  </rowBreaks>
  <ignoredErrors>
    <ignoredError sqref="B128:B135 B137:B1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I226"/>
  <sheetViews>
    <sheetView view="pageBreakPreview" topLeftCell="A139" zoomScale="75" zoomScaleNormal="100" zoomScaleSheetLayoutView="75" workbookViewId="0">
      <selection activeCell="G154" sqref="G154:H154"/>
    </sheetView>
  </sheetViews>
  <sheetFormatPr defaultRowHeight="18.75"/>
  <cols>
    <col min="1" max="1" width="6.85546875" style="33" customWidth="1"/>
    <col min="2" max="2" width="54.85546875" style="33" customWidth="1"/>
    <col min="3" max="3" width="12" style="42" customWidth="1"/>
    <col min="4" max="4" width="16.140625" style="283" customWidth="1"/>
    <col min="5" max="5" width="16.7109375" style="283" customWidth="1"/>
    <col min="6" max="6" width="16.140625" style="283" customWidth="1"/>
    <col min="7" max="7" width="16.140625" style="33" customWidth="1"/>
    <col min="8" max="8" width="17.5703125" style="33" customWidth="1"/>
    <col min="9" max="9" width="9.140625" style="33"/>
    <col min="10" max="10" width="13.140625" style="33" customWidth="1"/>
    <col min="11" max="16384" width="9.140625" style="33"/>
  </cols>
  <sheetData>
    <row r="2" spans="1:9" ht="20.25">
      <c r="B2" s="371" t="s">
        <v>144</v>
      </c>
      <c r="C2" s="371"/>
      <c r="D2" s="371"/>
      <c r="E2" s="371"/>
      <c r="F2" s="371"/>
    </row>
    <row r="3" spans="1:9">
      <c r="B3" s="34"/>
      <c r="C3" s="35"/>
      <c r="D3" s="278"/>
      <c r="E3" s="278"/>
      <c r="F3" s="278"/>
      <c r="H3" s="33" t="s">
        <v>102</v>
      </c>
    </row>
    <row r="4" spans="1:9" ht="70.5" customHeight="1">
      <c r="A4" s="36" t="s">
        <v>115</v>
      </c>
      <c r="B4" s="37" t="s">
        <v>31</v>
      </c>
      <c r="C4" s="38" t="s">
        <v>5</v>
      </c>
      <c r="D4" s="47" t="s">
        <v>460</v>
      </c>
      <c r="E4" s="47" t="s">
        <v>491</v>
      </c>
      <c r="F4" s="47" t="s">
        <v>462</v>
      </c>
      <c r="G4" s="2" t="s">
        <v>159</v>
      </c>
      <c r="H4" s="2" t="s">
        <v>161</v>
      </c>
    </row>
    <row r="5" spans="1:9" ht="22.5" customHeight="1">
      <c r="A5" s="39">
        <v>1</v>
      </c>
      <c r="B5" s="40">
        <v>2</v>
      </c>
      <c r="C5" s="2">
        <v>3</v>
      </c>
      <c r="D5" s="279">
        <v>4</v>
      </c>
      <c r="E5" s="279">
        <v>5</v>
      </c>
      <c r="F5" s="279">
        <v>6</v>
      </c>
      <c r="G5" s="39">
        <v>7</v>
      </c>
      <c r="H5" s="39">
        <v>8</v>
      </c>
    </row>
    <row r="6" spans="1:9" ht="30.75" customHeight="1">
      <c r="A6" s="364" t="s">
        <v>114</v>
      </c>
      <c r="B6" s="365"/>
      <c r="C6" s="48"/>
      <c r="D6" s="49">
        <f>D7+D11+D23+D21</f>
        <v>33615.700000000004</v>
      </c>
      <c r="E6" s="49">
        <f>E7+E11+E23+E21</f>
        <v>39823.799999999996</v>
      </c>
      <c r="F6" s="49">
        <f>F7+F11+F23+F21</f>
        <v>48031.69999999999</v>
      </c>
      <c r="G6" s="69">
        <f t="shared" ref="G6:G12" si="0">F6-E6</f>
        <v>8207.8999999999942</v>
      </c>
      <c r="H6" s="236">
        <f t="shared" ref="H6:H22" si="1">(F6/E6)*100</f>
        <v>120.61053942617228</v>
      </c>
    </row>
    <row r="7" spans="1:9" ht="53.25" customHeight="1">
      <c r="A7" s="369" t="s">
        <v>113</v>
      </c>
      <c r="B7" s="370"/>
      <c r="C7" s="51">
        <v>1000</v>
      </c>
      <c r="D7" s="53">
        <f>D8</f>
        <v>29220</v>
      </c>
      <c r="E7" s="53">
        <f>E8</f>
        <v>32077.599999999999</v>
      </c>
      <c r="F7" s="53">
        <f>F8+F9+F10</f>
        <v>34249.599999999999</v>
      </c>
      <c r="G7" s="69">
        <f t="shared" si="0"/>
        <v>2172</v>
      </c>
      <c r="H7" s="236">
        <f t="shared" si="1"/>
        <v>106.7710801306831</v>
      </c>
    </row>
    <row r="8" spans="1:9" ht="42" customHeight="1">
      <c r="A8" s="54">
        <v>1</v>
      </c>
      <c r="B8" s="55" t="s">
        <v>180</v>
      </c>
      <c r="C8" s="48"/>
      <c r="D8" s="56">
        <v>29220</v>
      </c>
      <c r="E8" s="56">
        <v>32077.599999999999</v>
      </c>
      <c r="F8" s="56">
        <v>33978.5</v>
      </c>
      <c r="G8" s="71">
        <f t="shared" si="0"/>
        <v>1900.9000000000015</v>
      </c>
      <c r="H8" s="237">
        <f t="shared" si="1"/>
        <v>105.92594209043071</v>
      </c>
    </row>
    <row r="9" spans="1:9" ht="27.75" customHeight="1">
      <c r="A9" s="63">
        <v>2</v>
      </c>
      <c r="B9" s="55" t="s">
        <v>422</v>
      </c>
      <c r="C9" s="48"/>
      <c r="D9" s="56"/>
      <c r="E9" s="56"/>
      <c r="F9" s="56">
        <v>270.60000000000002</v>
      </c>
      <c r="G9" s="71">
        <f t="shared" si="0"/>
        <v>270.60000000000002</v>
      </c>
      <c r="H9" s="238" t="e">
        <f t="shared" ref="H9" si="2">(F9/E9)*100</f>
        <v>#DIV/0!</v>
      </c>
    </row>
    <row r="10" spans="1:9" ht="37.5" customHeight="1">
      <c r="A10" s="63">
        <v>3</v>
      </c>
      <c r="B10" s="55" t="s">
        <v>476</v>
      </c>
      <c r="C10" s="48"/>
      <c r="D10" s="56"/>
      <c r="E10" s="56"/>
      <c r="F10" s="56">
        <v>0.5</v>
      </c>
      <c r="G10" s="71"/>
      <c r="H10" s="238"/>
      <c r="I10" s="33" t="s">
        <v>503</v>
      </c>
    </row>
    <row r="11" spans="1:9" ht="30.75" customHeight="1">
      <c r="A11" s="372" t="s">
        <v>52</v>
      </c>
      <c r="B11" s="374"/>
      <c r="C11" s="51">
        <v>1042</v>
      </c>
      <c r="D11" s="53">
        <f>SUM(D12:D20)</f>
        <v>3501.9000000000005</v>
      </c>
      <c r="E11" s="53">
        <f>SUM(E12:E20)</f>
        <v>6556.2</v>
      </c>
      <c r="F11" s="53">
        <f>SUM(F12:F20)</f>
        <v>13369.3</v>
      </c>
      <c r="G11" s="69">
        <f t="shared" si="0"/>
        <v>6813.0999999999995</v>
      </c>
      <c r="H11" s="236">
        <f t="shared" si="1"/>
        <v>203.91842835789024</v>
      </c>
    </row>
    <row r="12" spans="1:9" ht="42" customHeight="1">
      <c r="A12" s="54">
        <v>1</v>
      </c>
      <c r="B12" s="58" t="s">
        <v>181</v>
      </c>
      <c r="C12" s="48"/>
      <c r="D12" s="56">
        <v>14</v>
      </c>
      <c r="E12" s="56"/>
      <c r="F12" s="56"/>
      <c r="G12" s="69">
        <f t="shared" si="0"/>
        <v>0</v>
      </c>
      <c r="H12" s="236"/>
    </row>
    <row r="13" spans="1:9" ht="79.5" customHeight="1">
      <c r="A13" s="54">
        <v>2</v>
      </c>
      <c r="B13" s="60" t="s">
        <v>182</v>
      </c>
      <c r="C13" s="48"/>
      <c r="D13" s="56"/>
      <c r="E13" s="56">
        <v>16</v>
      </c>
      <c r="F13" s="56">
        <v>3.4</v>
      </c>
      <c r="G13" s="71">
        <f t="shared" ref="G13:G22" si="3">F13-E13</f>
        <v>-12.6</v>
      </c>
      <c r="H13" s="237">
        <f t="shared" si="1"/>
        <v>21.25</v>
      </c>
    </row>
    <row r="14" spans="1:9" ht="40.5" customHeight="1">
      <c r="A14" s="54">
        <v>3</v>
      </c>
      <c r="B14" s="55" t="s">
        <v>183</v>
      </c>
      <c r="C14" s="48"/>
      <c r="D14" s="56">
        <v>1997.4</v>
      </c>
      <c r="E14" s="56">
        <v>2829.2</v>
      </c>
      <c r="F14" s="56">
        <v>3112.6</v>
      </c>
      <c r="G14" s="240">
        <f t="shared" si="3"/>
        <v>283.40000000000009</v>
      </c>
      <c r="H14" s="237">
        <f t="shared" si="1"/>
        <v>110.01696592676376</v>
      </c>
    </row>
    <row r="15" spans="1:9" ht="57" customHeight="1">
      <c r="A15" s="54">
        <v>4</v>
      </c>
      <c r="B15" s="58" t="s">
        <v>184</v>
      </c>
      <c r="C15" s="48"/>
      <c r="D15" s="56"/>
      <c r="E15" s="56">
        <v>107.4</v>
      </c>
      <c r="F15" s="56">
        <v>80.8</v>
      </c>
      <c r="G15" s="71">
        <f>F15-E15</f>
        <v>-26.600000000000009</v>
      </c>
      <c r="H15" s="237">
        <f t="shared" si="1"/>
        <v>75.232774674115461</v>
      </c>
    </row>
    <row r="16" spans="1:9" ht="66" customHeight="1">
      <c r="A16" s="54">
        <v>5</v>
      </c>
      <c r="B16" s="55" t="s">
        <v>492</v>
      </c>
      <c r="C16" s="48"/>
      <c r="D16" s="56">
        <v>1240.7</v>
      </c>
      <c r="E16" s="56">
        <v>3473.8</v>
      </c>
      <c r="F16" s="56">
        <v>10096</v>
      </c>
      <c r="G16" s="240">
        <f t="shared" si="3"/>
        <v>6622.2</v>
      </c>
      <c r="H16" s="237">
        <f t="shared" si="1"/>
        <v>290.6327364845414</v>
      </c>
    </row>
    <row r="17" spans="1:8" ht="44.25" customHeight="1">
      <c r="A17" s="54">
        <v>6</v>
      </c>
      <c r="B17" s="61" t="s">
        <v>185</v>
      </c>
      <c r="C17" s="48"/>
      <c r="D17" s="56">
        <v>147.30000000000001</v>
      </c>
      <c r="E17" s="56"/>
      <c r="F17" s="56">
        <v>4.9000000000000004</v>
      </c>
      <c r="G17" s="240">
        <f t="shared" si="3"/>
        <v>4.9000000000000004</v>
      </c>
      <c r="H17" s="239" t="e">
        <f t="shared" si="1"/>
        <v>#DIV/0!</v>
      </c>
    </row>
    <row r="18" spans="1:8" ht="39.75" customHeight="1">
      <c r="A18" s="54">
        <v>7</v>
      </c>
      <c r="B18" s="55" t="s">
        <v>186</v>
      </c>
      <c r="C18" s="48"/>
      <c r="D18" s="56">
        <v>66.099999999999994</v>
      </c>
      <c r="E18" s="56">
        <v>92.5</v>
      </c>
      <c r="F18" s="56">
        <v>65.7</v>
      </c>
      <c r="G18" s="240">
        <f t="shared" si="3"/>
        <v>-26.799999999999997</v>
      </c>
      <c r="H18" s="237">
        <f t="shared" si="1"/>
        <v>71.027027027027032</v>
      </c>
    </row>
    <row r="19" spans="1:8" ht="30.75" customHeight="1">
      <c r="A19" s="54">
        <v>8</v>
      </c>
      <c r="B19" s="61" t="s">
        <v>187</v>
      </c>
      <c r="C19" s="48"/>
      <c r="D19" s="56">
        <v>35.6</v>
      </c>
      <c r="E19" s="56">
        <v>35</v>
      </c>
      <c r="F19" s="56">
        <v>5.5</v>
      </c>
      <c r="G19" s="71">
        <f t="shared" si="3"/>
        <v>-29.5</v>
      </c>
      <c r="H19" s="237">
        <f t="shared" si="1"/>
        <v>15.714285714285714</v>
      </c>
    </row>
    <row r="20" spans="1:8" ht="44.25" customHeight="1">
      <c r="A20" s="63">
        <v>9</v>
      </c>
      <c r="B20" s="55" t="s">
        <v>188</v>
      </c>
      <c r="C20" s="48"/>
      <c r="D20" s="56">
        <v>0.8</v>
      </c>
      <c r="E20" s="56">
        <v>2.2999999999999998</v>
      </c>
      <c r="F20" s="56">
        <v>0.4</v>
      </c>
      <c r="G20" s="71">
        <f t="shared" si="3"/>
        <v>-1.9</v>
      </c>
      <c r="H20" s="237">
        <f t="shared" si="1"/>
        <v>17.39130434782609</v>
      </c>
    </row>
    <row r="21" spans="1:8" ht="35.25" customHeight="1">
      <c r="A21" s="372" t="s">
        <v>116</v>
      </c>
      <c r="B21" s="373"/>
      <c r="C21" s="51">
        <v>1130</v>
      </c>
      <c r="D21" s="53">
        <f>SUM(D22)</f>
        <v>299.39999999999998</v>
      </c>
      <c r="E21" s="53">
        <f>SUM(E22)</f>
        <v>320</v>
      </c>
      <c r="F21" s="53">
        <f>F22</f>
        <v>184.7</v>
      </c>
      <c r="G21" s="69">
        <f t="shared" si="3"/>
        <v>-135.30000000000001</v>
      </c>
      <c r="H21" s="236">
        <f t="shared" si="1"/>
        <v>57.71875</v>
      </c>
    </row>
    <row r="22" spans="1:8" ht="39" customHeight="1">
      <c r="A22" s="64">
        <v>1</v>
      </c>
      <c r="B22" s="55" t="s">
        <v>399</v>
      </c>
      <c r="C22" s="48"/>
      <c r="D22" s="56">
        <v>299.39999999999998</v>
      </c>
      <c r="E22" s="56">
        <v>320</v>
      </c>
      <c r="F22" s="56">
        <v>184.7</v>
      </c>
      <c r="G22" s="71">
        <f t="shared" si="3"/>
        <v>-135.30000000000001</v>
      </c>
      <c r="H22" s="237">
        <f t="shared" si="1"/>
        <v>57.71875</v>
      </c>
    </row>
    <row r="23" spans="1:8" s="41" customFormat="1" ht="39" customHeight="1">
      <c r="A23" s="372" t="s">
        <v>35</v>
      </c>
      <c r="B23" s="373"/>
      <c r="C23" s="51">
        <v>1150</v>
      </c>
      <c r="D23" s="53">
        <f>D24+D25+D26</f>
        <v>594.4</v>
      </c>
      <c r="E23" s="53">
        <f>SUM(E24:E25)</f>
        <v>870</v>
      </c>
      <c r="F23" s="53">
        <f t="shared" ref="F23:H23" si="4">SUM(F24:F25)</f>
        <v>228.1</v>
      </c>
      <c r="G23" s="52">
        <f t="shared" si="4"/>
        <v>-641.9</v>
      </c>
      <c r="H23" s="52">
        <f t="shared" si="4"/>
        <v>108.30364700365979</v>
      </c>
    </row>
    <row r="24" spans="1:8" s="41" customFormat="1" ht="39" customHeight="1">
      <c r="A24" s="54">
        <v>1</v>
      </c>
      <c r="B24" s="214" t="s">
        <v>189</v>
      </c>
      <c r="C24" s="51"/>
      <c r="D24" s="56">
        <v>593.6</v>
      </c>
      <c r="E24" s="56">
        <v>864.3</v>
      </c>
      <c r="F24" s="56">
        <v>223.4</v>
      </c>
      <c r="G24" s="71">
        <f>F24-E24</f>
        <v>-640.9</v>
      </c>
      <c r="H24" s="237">
        <f t="shared" ref="H24:H25" si="5">(F24/E24)*100</f>
        <v>25.847506652782599</v>
      </c>
    </row>
    <row r="25" spans="1:8" s="41" customFormat="1" ht="37.5" customHeight="1">
      <c r="A25" s="54">
        <v>2</v>
      </c>
      <c r="B25" s="214" t="s">
        <v>190</v>
      </c>
      <c r="C25" s="51"/>
      <c r="D25" s="53"/>
      <c r="E25" s="56">
        <v>5.7</v>
      </c>
      <c r="F25" s="56">
        <v>4.7</v>
      </c>
      <c r="G25" s="71">
        <f>F25-E25</f>
        <v>-1</v>
      </c>
      <c r="H25" s="237">
        <f t="shared" si="5"/>
        <v>82.456140350877192</v>
      </c>
    </row>
    <row r="26" spans="1:8" s="41" customFormat="1" ht="37.5" customHeight="1">
      <c r="A26" s="54">
        <v>3</v>
      </c>
      <c r="B26" s="55" t="s">
        <v>466</v>
      </c>
      <c r="C26" s="51"/>
      <c r="D26" s="56">
        <v>0.8</v>
      </c>
      <c r="E26" s="56"/>
      <c r="F26" s="56"/>
      <c r="G26" s="71"/>
      <c r="H26" s="237"/>
    </row>
    <row r="27" spans="1:8" s="41" customFormat="1" ht="29.25" customHeight="1">
      <c r="A27" s="364" t="s">
        <v>117</v>
      </c>
      <c r="B27" s="365"/>
      <c r="C27" s="51"/>
      <c r="D27" s="53"/>
      <c r="E27" s="53"/>
      <c r="F27" s="53"/>
      <c r="G27" s="69"/>
      <c r="H27" s="69"/>
    </row>
    <row r="28" spans="1:8" s="41" customFormat="1" ht="42.75" customHeight="1">
      <c r="A28" s="369" t="s">
        <v>440</v>
      </c>
      <c r="B28" s="370"/>
      <c r="C28" s="51">
        <v>1010</v>
      </c>
      <c r="D28" s="56"/>
      <c r="E28" s="53"/>
      <c r="F28" s="53"/>
      <c r="G28" s="69"/>
      <c r="H28" s="69"/>
    </row>
    <row r="29" spans="1:8" s="41" customFormat="1" ht="32.25" customHeight="1">
      <c r="A29" s="366" t="s">
        <v>441</v>
      </c>
      <c r="B29" s="367"/>
      <c r="C29" s="51">
        <v>1011</v>
      </c>
      <c r="D29" s="53">
        <f>SUM(D30:D54)</f>
        <v>1394</v>
      </c>
      <c r="E29" s="53">
        <f>SUM(E30:E54)</f>
        <v>5831.3</v>
      </c>
      <c r="F29" s="53">
        <f>SUM(F30:F56)</f>
        <v>8244.7999999999975</v>
      </c>
      <c r="G29" s="69">
        <f t="shared" ref="G29:G57" si="6">F29-E29</f>
        <v>2413.4999999999973</v>
      </c>
      <c r="H29" s="236">
        <f t="shared" ref="H29:H83" si="7">(F29/E29)*100</f>
        <v>141.38871263697627</v>
      </c>
    </row>
    <row r="30" spans="1:8" s="41" customFormat="1" ht="26.25" customHeight="1">
      <c r="A30" s="65"/>
      <c r="B30" s="65" t="s">
        <v>192</v>
      </c>
      <c r="C30" s="51"/>
      <c r="D30" s="56">
        <v>109.2</v>
      </c>
      <c r="E30" s="56"/>
      <c r="F30" s="56"/>
      <c r="G30" s="71">
        <f t="shared" si="6"/>
        <v>0</v>
      </c>
      <c r="H30" s="237"/>
    </row>
    <row r="31" spans="1:8" s="41" customFormat="1" ht="21" customHeight="1">
      <c r="A31" s="65"/>
      <c r="B31" s="65" t="s">
        <v>286</v>
      </c>
      <c r="C31" s="51"/>
      <c r="D31" s="56"/>
      <c r="E31" s="56">
        <v>100</v>
      </c>
      <c r="F31" s="56">
        <v>73</v>
      </c>
      <c r="G31" s="71"/>
      <c r="H31" s="237">
        <f t="shared" si="7"/>
        <v>73</v>
      </c>
    </row>
    <row r="32" spans="1:8" s="41" customFormat="1" ht="22.5" customHeight="1">
      <c r="A32" s="65"/>
      <c r="B32" s="65" t="s">
        <v>193</v>
      </c>
      <c r="C32" s="51"/>
      <c r="D32" s="56">
        <v>198.2</v>
      </c>
      <c r="E32" s="56">
        <v>270</v>
      </c>
      <c r="F32" s="56">
        <v>151</v>
      </c>
      <c r="G32" s="71">
        <f t="shared" si="6"/>
        <v>-119</v>
      </c>
      <c r="H32" s="237">
        <f t="shared" si="7"/>
        <v>55.925925925925924</v>
      </c>
    </row>
    <row r="33" spans="1:8" s="41" customFormat="1" ht="24.75" customHeight="1">
      <c r="A33" s="65"/>
      <c r="B33" s="65" t="s">
        <v>194</v>
      </c>
      <c r="C33" s="51"/>
      <c r="D33" s="56">
        <v>223.8</v>
      </c>
      <c r="E33" s="56"/>
      <c r="F33" s="56"/>
      <c r="G33" s="71">
        <f t="shared" si="6"/>
        <v>0</v>
      </c>
      <c r="H33" s="237"/>
    </row>
    <row r="34" spans="1:8" s="41" customFormat="1" ht="22.5" customHeight="1">
      <c r="A34" s="65"/>
      <c r="B34" s="65" t="s">
        <v>402</v>
      </c>
      <c r="C34" s="51"/>
      <c r="D34" s="56"/>
      <c r="E34" s="56">
        <v>919</v>
      </c>
      <c r="F34" s="56">
        <f>216.4+3914.1</f>
        <v>4130.5</v>
      </c>
      <c r="G34" s="71"/>
      <c r="H34" s="237">
        <f t="shared" si="7"/>
        <v>449.45593035908598</v>
      </c>
    </row>
    <row r="35" spans="1:8" s="41" customFormat="1" ht="26.25" customHeight="1">
      <c r="A35" s="65"/>
      <c r="B35" s="65" t="s">
        <v>195</v>
      </c>
      <c r="C35" s="51"/>
      <c r="D35" s="56">
        <v>285.8</v>
      </c>
      <c r="E35" s="56"/>
      <c r="F35" s="56"/>
      <c r="G35" s="71">
        <f t="shared" si="6"/>
        <v>0</v>
      </c>
      <c r="H35" s="237"/>
    </row>
    <row r="36" spans="1:8" s="41" customFormat="1" ht="38.25" customHeight="1">
      <c r="A36" s="66"/>
      <c r="B36" s="66" t="s">
        <v>403</v>
      </c>
      <c r="C36" s="51"/>
      <c r="D36" s="56"/>
      <c r="E36" s="56">
        <v>1991.7</v>
      </c>
      <c r="F36" s="56">
        <f>459+848.8</f>
        <v>1307.8</v>
      </c>
      <c r="G36" s="71"/>
      <c r="H36" s="237">
        <f t="shared" si="7"/>
        <v>65.66249937239543</v>
      </c>
    </row>
    <row r="37" spans="1:8" s="41" customFormat="1" ht="22.5" customHeight="1">
      <c r="A37" s="66"/>
      <c r="B37" s="66" t="s">
        <v>196</v>
      </c>
      <c r="C37" s="51"/>
      <c r="D37" s="56">
        <v>219.4</v>
      </c>
      <c r="E37" s="56">
        <v>972.7</v>
      </c>
      <c r="F37" s="56">
        <f>806.5+228.9+2</f>
        <v>1037.4000000000001</v>
      </c>
      <c r="G37" s="71">
        <f t="shared" si="6"/>
        <v>64.700000000000045</v>
      </c>
      <c r="H37" s="237">
        <f t="shared" si="7"/>
        <v>106.65158836229054</v>
      </c>
    </row>
    <row r="38" spans="1:8" s="41" customFormat="1" ht="22.5" customHeight="1">
      <c r="A38" s="66"/>
      <c r="B38" s="67" t="s">
        <v>197</v>
      </c>
      <c r="C38" s="51"/>
      <c r="D38" s="56">
        <v>136.1</v>
      </c>
      <c r="E38" s="56"/>
      <c r="F38" s="56"/>
      <c r="G38" s="71">
        <f t="shared" si="6"/>
        <v>0</v>
      </c>
      <c r="H38" s="237"/>
    </row>
    <row r="39" spans="1:8" s="41" customFormat="1" ht="24" customHeight="1">
      <c r="A39" s="66"/>
      <c r="B39" s="67" t="s">
        <v>198</v>
      </c>
      <c r="C39" s="51"/>
      <c r="D39" s="56">
        <v>28.6</v>
      </c>
      <c r="E39" s="56"/>
      <c r="F39" s="56"/>
      <c r="G39" s="71">
        <f t="shared" si="6"/>
        <v>0</v>
      </c>
      <c r="H39" s="237"/>
    </row>
    <row r="40" spans="1:8">
      <c r="A40" s="66"/>
      <c r="B40" s="67" t="s">
        <v>199</v>
      </c>
      <c r="C40" s="51"/>
      <c r="D40" s="56">
        <v>15.9</v>
      </c>
      <c r="E40" s="56">
        <v>55</v>
      </c>
      <c r="F40" s="56">
        <v>36.5</v>
      </c>
      <c r="G40" s="71">
        <f t="shared" si="6"/>
        <v>-18.5</v>
      </c>
      <c r="H40" s="237">
        <f t="shared" si="7"/>
        <v>66.363636363636374</v>
      </c>
    </row>
    <row r="41" spans="1:8" ht="24.75" customHeight="1">
      <c r="A41" s="66"/>
      <c r="B41" s="67" t="s">
        <v>200</v>
      </c>
      <c r="C41" s="51"/>
      <c r="D41" s="56">
        <v>21</v>
      </c>
      <c r="E41" s="56">
        <v>25</v>
      </c>
      <c r="F41" s="56">
        <v>17.3</v>
      </c>
      <c r="G41" s="71">
        <f t="shared" si="6"/>
        <v>-7.6999999999999993</v>
      </c>
      <c r="H41" s="237">
        <f t="shared" si="7"/>
        <v>69.2</v>
      </c>
    </row>
    <row r="42" spans="1:8">
      <c r="A42" s="66"/>
      <c r="B42" s="67" t="s">
        <v>201</v>
      </c>
      <c r="C42" s="51"/>
      <c r="D42" s="56">
        <v>0.8</v>
      </c>
      <c r="E42" s="56">
        <v>7</v>
      </c>
      <c r="F42" s="56">
        <v>0.9</v>
      </c>
      <c r="G42" s="71">
        <f t="shared" si="6"/>
        <v>-6.1</v>
      </c>
      <c r="H42" s="237">
        <f t="shared" si="7"/>
        <v>12.857142857142859</v>
      </c>
    </row>
    <row r="43" spans="1:8">
      <c r="A43" s="66"/>
      <c r="B43" s="67" t="s">
        <v>202</v>
      </c>
      <c r="C43" s="51"/>
      <c r="D43" s="56">
        <v>20</v>
      </c>
      <c r="E43" s="56">
        <v>53</v>
      </c>
      <c r="F43" s="56">
        <v>29.4</v>
      </c>
      <c r="G43" s="71">
        <f t="shared" si="6"/>
        <v>-23.6</v>
      </c>
      <c r="H43" s="237">
        <f t="shared" si="7"/>
        <v>55.471698113207545</v>
      </c>
    </row>
    <row r="44" spans="1:8">
      <c r="A44" s="66"/>
      <c r="B44" s="67" t="s">
        <v>203</v>
      </c>
      <c r="C44" s="51"/>
      <c r="D44" s="56">
        <v>61.7</v>
      </c>
      <c r="E44" s="56">
        <v>113</v>
      </c>
      <c r="F44" s="56">
        <f>106.8+0.6</f>
        <v>107.39999999999999</v>
      </c>
      <c r="G44" s="71">
        <f t="shared" si="6"/>
        <v>-5.6000000000000085</v>
      </c>
      <c r="H44" s="237">
        <f t="shared" si="7"/>
        <v>95.044247787610615</v>
      </c>
    </row>
    <row r="45" spans="1:8">
      <c r="A45" s="66"/>
      <c r="B45" s="67" t="s">
        <v>204</v>
      </c>
      <c r="C45" s="51"/>
      <c r="D45" s="56">
        <v>0.8</v>
      </c>
      <c r="E45" s="56">
        <v>1</v>
      </c>
      <c r="F45" s="56">
        <v>1.1000000000000001</v>
      </c>
      <c r="G45" s="71">
        <f t="shared" si="6"/>
        <v>0.10000000000000009</v>
      </c>
      <c r="H45" s="237">
        <f t="shared" si="7"/>
        <v>110.00000000000001</v>
      </c>
    </row>
    <row r="46" spans="1:8">
      <c r="A46" s="66"/>
      <c r="B46" s="67" t="s">
        <v>205</v>
      </c>
      <c r="C46" s="51"/>
      <c r="D46" s="56">
        <v>22.9</v>
      </c>
      <c r="E46" s="56">
        <v>70</v>
      </c>
      <c r="F46" s="56">
        <v>11.4</v>
      </c>
      <c r="G46" s="71">
        <f t="shared" si="6"/>
        <v>-58.6</v>
      </c>
      <c r="H46" s="237">
        <f t="shared" si="7"/>
        <v>16.285714285714288</v>
      </c>
    </row>
    <row r="47" spans="1:8" ht="37.5">
      <c r="A47" s="66"/>
      <c r="B47" s="61" t="s">
        <v>206</v>
      </c>
      <c r="C47" s="51"/>
      <c r="D47" s="56">
        <v>49.8</v>
      </c>
      <c r="E47" s="56">
        <v>125</v>
      </c>
      <c r="F47" s="56">
        <v>36</v>
      </c>
      <c r="G47" s="71">
        <f t="shared" si="6"/>
        <v>-89</v>
      </c>
      <c r="H47" s="237">
        <f t="shared" si="7"/>
        <v>28.799999999999997</v>
      </c>
    </row>
    <row r="48" spans="1:8">
      <c r="A48" s="66"/>
      <c r="B48" s="61" t="s">
        <v>207</v>
      </c>
      <c r="C48" s="51"/>
      <c r="D48" s="56"/>
      <c r="E48" s="56">
        <v>163</v>
      </c>
      <c r="F48" s="56">
        <f>217.1+44.7</f>
        <v>261.8</v>
      </c>
      <c r="G48" s="71">
        <f t="shared" si="6"/>
        <v>98.800000000000011</v>
      </c>
      <c r="H48" s="237">
        <f t="shared" si="7"/>
        <v>160.61349693251535</v>
      </c>
    </row>
    <row r="49" spans="1:8">
      <c r="A49" s="66"/>
      <c r="B49" s="61" t="s">
        <v>404</v>
      </c>
      <c r="C49" s="51"/>
      <c r="D49" s="56"/>
      <c r="E49" s="56">
        <v>86.5</v>
      </c>
      <c r="F49" s="56"/>
      <c r="G49" s="71">
        <f t="shared" si="6"/>
        <v>-86.5</v>
      </c>
      <c r="H49" s="237">
        <f t="shared" si="7"/>
        <v>0</v>
      </c>
    </row>
    <row r="50" spans="1:8">
      <c r="A50" s="66"/>
      <c r="B50" s="68" t="s">
        <v>208</v>
      </c>
      <c r="C50" s="51"/>
      <c r="D50" s="56"/>
      <c r="E50" s="56">
        <v>493.5</v>
      </c>
      <c r="F50" s="56">
        <f>505.3+57.4</f>
        <v>562.70000000000005</v>
      </c>
      <c r="G50" s="71">
        <f t="shared" si="6"/>
        <v>69.200000000000045</v>
      </c>
      <c r="H50" s="237">
        <f t="shared" si="7"/>
        <v>114.02228976697062</v>
      </c>
    </row>
    <row r="51" spans="1:8">
      <c r="A51" s="66"/>
      <c r="B51" s="68" t="s">
        <v>209</v>
      </c>
      <c r="C51" s="51"/>
      <c r="D51" s="56"/>
      <c r="E51" s="56">
        <v>30</v>
      </c>
      <c r="F51" s="56">
        <f>23.1+5.4</f>
        <v>28.5</v>
      </c>
      <c r="G51" s="71">
        <f t="shared" si="6"/>
        <v>-1.5</v>
      </c>
      <c r="H51" s="237">
        <f t="shared" si="7"/>
        <v>95</v>
      </c>
    </row>
    <row r="52" spans="1:8">
      <c r="A52" s="66"/>
      <c r="B52" s="68" t="s">
        <v>210</v>
      </c>
      <c r="C52" s="51"/>
      <c r="D52" s="56"/>
      <c r="E52" s="56">
        <v>315.7</v>
      </c>
      <c r="F52" s="56">
        <f>376.6+10.8</f>
        <v>387.40000000000003</v>
      </c>
      <c r="G52" s="71">
        <f t="shared" si="6"/>
        <v>71.700000000000045</v>
      </c>
      <c r="H52" s="237">
        <f t="shared" si="7"/>
        <v>122.71143490655687</v>
      </c>
    </row>
    <row r="53" spans="1:8">
      <c r="A53" s="66"/>
      <c r="B53" s="61" t="s">
        <v>211</v>
      </c>
      <c r="C53" s="51"/>
      <c r="D53" s="56"/>
      <c r="E53" s="56">
        <v>23.6</v>
      </c>
      <c r="F53" s="56">
        <v>49.7</v>
      </c>
      <c r="G53" s="71">
        <f t="shared" si="6"/>
        <v>26.1</v>
      </c>
      <c r="H53" s="237">
        <f t="shared" si="7"/>
        <v>210.59322033898303</v>
      </c>
    </row>
    <row r="54" spans="1:8">
      <c r="A54" s="66"/>
      <c r="B54" s="61" t="s">
        <v>212</v>
      </c>
      <c r="C54" s="51"/>
      <c r="D54" s="56"/>
      <c r="E54" s="56">
        <v>16.600000000000001</v>
      </c>
      <c r="F54" s="56">
        <f>11.5+0.8</f>
        <v>12.3</v>
      </c>
      <c r="G54" s="71">
        <f t="shared" si="6"/>
        <v>-4.3000000000000007</v>
      </c>
      <c r="H54" s="237">
        <f t="shared" si="7"/>
        <v>74.096385542168676</v>
      </c>
    </row>
    <row r="55" spans="1:8">
      <c r="A55" s="66"/>
      <c r="B55" s="105" t="s">
        <v>213</v>
      </c>
      <c r="C55" s="51"/>
      <c r="D55" s="56"/>
      <c r="E55" s="56"/>
      <c r="F55" s="56">
        <v>0.8</v>
      </c>
      <c r="G55" s="71">
        <f t="shared" si="6"/>
        <v>0.8</v>
      </c>
      <c r="H55" s="237"/>
    </row>
    <row r="56" spans="1:8">
      <c r="A56" s="66"/>
      <c r="B56" s="115" t="s">
        <v>428</v>
      </c>
      <c r="C56" s="51"/>
      <c r="D56" s="56"/>
      <c r="E56" s="56"/>
      <c r="F56" s="56">
        <v>1.9</v>
      </c>
      <c r="G56" s="71">
        <f t="shared" si="6"/>
        <v>1.9</v>
      </c>
      <c r="H56" s="237"/>
    </row>
    <row r="57" spans="1:8">
      <c r="A57" s="366" t="s">
        <v>118</v>
      </c>
      <c r="B57" s="367"/>
      <c r="C57" s="51">
        <v>1015</v>
      </c>
      <c r="D57" s="53">
        <f>SUM(D58:D96)</f>
        <v>348.09999999999997</v>
      </c>
      <c r="E57" s="53">
        <f>SUM(E58:E96)</f>
        <v>588.4</v>
      </c>
      <c r="F57" s="53">
        <f>SUM(F58:F95)</f>
        <v>830.69999999999993</v>
      </c>
      <c r="G57" s="69">
        <f t="shared" si="6"/>
        <v>242.29999999999995</v>
      </c>
      <c r="H57" s="236">
        <f t="shared" si="7"/>
        <v>141.17946974847041</v>
      </c>
    </row>
    <row r="58" spans="1:8">
      <c r="A58" s="51"/>
      <c r="B58" s="67" t="s">
        <v>231</v>
      </c>
      <c r="C58" s="51"/>
      <c r="D58" s="56"/>
      <c r="E58" s="56">
        <v>0.8</v>
      </c>
      <c r="F58" s="56"/>
      <c r="G58" s="71">
        <f>F58-E58</f>
        <v>-0.8</v>
      </c>
      <c r="H58" s="237">
        <f t="shared" si="7"/>
        <v>0</v>
      </c>
    </row>
    <row r="59" spans="1:8">
      <c r="A59" s="51"/>
      <c r="B59" s="67" t="s">
        <v>232</v>
      </c>
      <c r="C59" s="51"/>
      <c r="D59" s="56"/>
      <c r="E59" s="56">
        <v>122</v>
      </c>
      <c r="F59" s="56">
        <v>92</v>
      </c>
      <c r="G59" s="71">
        <f>F59-E59</f>
        <v>-30</v>
      </c>
      <c r="H59" s="237">
        <f t="shared" si="7"/>
        <v>75.409836065573771</v>
      </c>
    </row>
    <row r="60" spans="1:8">
      <c r="A60" s="51"/>
      <c r="B60" s="67" t="s">
        <v>405</v>
      </c>
      <c r="C60" s="51"/>
      <c r="D60" s="56">
        <v>15.7</v>
      </c>
      <c r="E60" s="56">
        <v>20</v>
      </c>
      <c r="F60" s="56"/>
      <c r="G60" s="71">
        <f>F60-E60</f>
        <v>-20</v>
      </c>
      <c r="H60" s="237">
        <f t="shared" si="7"/>
        <v>0</v>
      </c>
    </row>
    <row r="61" spans="1:8">
      <c r="A61" s="51"/>
      <c r="B61" s="67" t="s">
        <v>216</v>
      </c>
      <c r="C61" s="51"/>
      <c r="D61" s="56">
        <v>31.8</v>
      </c>
      <c r="E61" s="56">
        <v>40</v>
      </c>
      <c r="F61" s="56"/>
      <c r="G61" s="71">
        <f>F61-E61</f>
        <v>-40</v>
      </c>
      <c r="H61" s="237">
        <f t="shared" si="7"/>
        <v>0</v>
      </c>
    </row>
    <row r="62" spans="1:8" ht="37.5">
      <c r="A62" s="51"/>
      <c r="B62" s="61" t="s">
        <v>217</v>
      </c>
      <c r="C62" s="51"/>
      <c r="D62" s="56">
        <v>30.6</v>
      </c>
      <c r="E62" s="56">
        <v>30</v>
      </c>
      <c r="F62" s="56">
        <v>24.8</v>
      </c>
      <c r="G62" s="71">
        <f t="shared" ref="G62:G95" si="8">F62-E62</f>
        <v>-5.1999999999999993</v>
      </c>
      <c r="H62" s="237">
        <f t="shared" si="7"/>
        <v>82.666666666666671</v>
      </c>
    </row>
    <row r="63" spans="1:8">
      <c r="A63" s="51"/>
      <c r="B63" s="67" t="s">
        <v>218</v>
      </c>
      <c r="C63" s="51"/>
      <c r="D63" s="56">
        <v>21.1</v>
      </c>
      <c r="E63" s="56">
        <v>60</v>
      </c>
      <c r="F63" s="56">
        <v>26.5</v>
      </c>
      <c r="G63" s="71">
        <f t="shared" si="8"/>
        <v>-33.5</v>
      </c>
      <c r="H63" s="237">
        <f t="shared" si="7"/>
        <v>44.166666666666664</v>
      </c>
    </row>
    <row r="64" spans="1:8">
      <c r="A64" s="51"/>
      <c r="B64" s="67" t="s">
        <v>219</v>
      </c>
      <c r="C64" s="51"/>
      <c r="D64" s="56">
        <v>22.9</v>
      </c>
      <c r="E64" s="56">
        <v>40</v>
      </c>
      <c r="F64" s="56">
        <v>118.7</v>
      </c>
      <c r="G64" s="71">
        <f t="shared" si="8"/>
        <v>78.7</v>
      </c>
      <c r="H64" s="237">
        <f t="shared" si="7"/>
        <v>296.75</v>
      </c>
    </row>
    <row r="65" spans="1:8">
      <c r="A65" s="51"/>
      <c r="B65" s="67" t="s">
        <v>220</v>
      </c>
      <c r="C65" s="51"/>
      <c r="D65" s="56">
        <v>6.6</v>
      </c>
      <c r="E65" s="56">
        <v>6</v>
      </c>
      <c r="F65" s="56">
        <v>7.9</v>
      </c>
      <c r="G65" s="71">
        <f t="shared" si="8"/>
        <v>1.9000000000000004</v>
      </c>
      <c r="H65" s="237">
        <f t="shared" si="7"/>
        <v>131.66666666666666</v>
      </c>
    </row>
    <row r="66" spans="1:8">
      <c r="A66" s="51"/>
      <c r="B66" s="67" t="s">
        <v>221</v>
      </c>
      <c r="C66" s="51"/>
      <c r="D66" s="56">
        <v>33.299999999999997</v>
      </c>
      <c r="E66" s="56">
        <v>45</v>
      </c>
      <c r="F66" s="56">
        <v>42.5</v>
      </c>
      <c r="G66" s="71">
        <f t="shared" si="8"/>
        <v>-2.5</v>
      </c>
      <c r="H66" s="237">
        <f t="shared" si="7"/>
        <v>94.444444444444443</v>
      </c>
    </row>
    <row r="67" spans="1:8">
      <c r="A67" s="51"/>
      <c r="B67" s="61" t="s">
        <v>222</v>
      </c>
      <c r="C67" s="51"/>
      <c r="D67" s="56">
        <v>50.4</v>
      </c>
      <c r="E67" s="56">
        <v>16.899999999999999</v>
      </c>
      <c r="F67" s="56">
        <f>16.9+59.1</f>
        <v>76</v>
      </c>
      <c r="G67" s="71">
        <f t="shared" si="8"/>
        <v>59.1</v>
      </c>
      <c r="H67" s="237">
        <f t="shared" si="7"/>
        <v>449.70414201183439</v>
      </c>
    </row>
    <row r="68" spans="1:8">
      <c r="A68" s="51"/>
      <c r="B68" s="61" t="s">
        <v>223</v>
      </c>
      <c r="C68" s="51"/>
      <c r="D68" s="56">
        <v>18.7</v>
      </c>
      <c r="E68" s="56">
        <v>27</v>
      </c>
      <c r="F68" s="56">
        <v>24.9</v>
      </c>
      <c r="G68" s="71">
        <f t="shared" si="8"/>
        <v>-2.1000000000000014</v>
      </c>
      <c r="H68" s="237">
        <f t="shared" si="7"/>
        <v>92.222222222222214</v>
      </c>
    </row>
    <row r="69" spans="1:8">
      <c r="A69" s="51"/>
      <c r="B69" s="61" t="s">
        <v>224</v>
      </c>
      <c r="C69" s="51"/>
      <c r="D69" s="56">
        <v>8.9</v>
      </c>
      <c r="E69" s="56">
        <v>6.5</v>
      </c>
      <c r="F69" s="56">
        <v>8</v>
      </c>
      <c r="G69" s="71">
        <f t="shared" si="8"/>
        <v>1.5</v>
      </c>
      <c r="H69" s="237">
        <f t="shared" si="7"/>
        <v>123.07692307692308</v>
      </c>
    </row>
    <row r="70" spans="1:8" ht="16.5" customHeight="1">
      <c r="A70" s="51"/>
      <c r="B70" s="61" t="s">
        <v>225</v>
      </c>
      <c r="C70" s="51"/>
      <c r="D70" s="56">
        <v>7.4</v>
      </c>
      <c r="E70" s="56"/>
      <c r="F70" s="56"/>
      <c r="G70" s="71">
        <f t="shared" si="8"/>
        <v>0</v>
      </c>
      <c r="H70" s="237"/>
    </row>
    <row r="71" spans="1:8">
      <c r="A71" s="51"/>
      <c r="B71" s="67" t="s">
        <v>226</v>
      </c>
      <c r="C71" s="51"/>
      <c r="D71" s="56">
        <v>12.2</v>
      </c>
      <c r="E71" s="56">
        <v>28.8</v>
      </c>
      <c r="F71" s="56">
        <v>22.5</v>
      </c>
      <c r="G71" s="71">
        <f t="shared" si="8"/>
        <v>-6.3000000000000007</v>
      </c>
      <c r="H71" s="237">
        <f t="shared" si="7"/>
        <v>78.125</v>
      </c>
    </row>
    <row r="72" spans="1:8">
      <c r="A72" s="51"/>
      <c r="B72" s="67" t="s">
        <v>227</v>
      </c>
      <c r="C72" s="51"/>
      <c r="D72" s="56">
        <v>21.9</v>
      </c>
      <c r="E72" s="56">
        <v>3</v>
      </c>
      <c r="F72" s="56">
        <v>14.5</v>
      </c>
      <c r="G72" s="71">
        <f t="shared" si="8"/>
        <v>11.5</v>
      </c>
      <c r="H72" s="237">
        <f t="shared" si="7"/>
        <v>483.33333333333331</v>
      </c>
    </row>
    <row r="73" spans="1:8">
      <c r="A73" s="51"/>
      <c r="B73" s="67" t="s">
        <v>257</v>
      </c>
      <c r="C73" s="51"/>
      <c r="D73" s="56">
        <v>15.7</v>
      </c>
      <c r="E73" s="56"/>
      <c r="F73" s="56">
        <v>1</v>
      </c>
      <c r="G73" s="71">
        <f t="shared" si="8"/>
        <v>1</v>
      </c>
      <c r="H73" s="237"/>
    </row>
    <row r="74" spans="1:8">
      <c r="A74" s="51"/>
      <c r="B74" s="67" t="s">
        <v>258</v>
      </c>
      <c r="C74" s="51"/>
      <c r="D74" s="56">
        <v>6</v>
      </c>
      <c r="E74" s="56"/>
      <c r="F74" s="56"/>
      <c r="G74" s="71"/>
      <c r="H74" s="237"/>
    </row>
    <row r="75" spans="1:8" ht="37.5" hidden="1">
      <c r="A75" s="51"/>
      <c r="B75" s="66" t="s">
        <v>228</v>
      </c>
      <c r="C75" s="51"/>
      <c r="D75" s="56"/>
      <c r="E75" s="56"/>
      <c r="F75" s="56"/>
      <c r="G75" s="71">
        <f t="shared" si="8"/>
        <v>0</v>
      </c>
      <c r="H75" s="237"/>
    </row>
    <row r="76" spans="1:8">
      <c r="A76" s="51"/>
      <c r="B76" s="67" t="s">
        <v>229</v>
      </c>
      <c r="C76" s="51"/>
      <c r="D76" s="56">
        <v>6.1</v>
      </c>
      <c r="E76" s="56"/>
      <c r="F76" s="56"/>
      <c r="G76" s="71">
        <f t="shared" si="8"/>
        <v>0</v>
      </c>
      <c r="H76" s="237"/>
    </row>
    <row r="77" spans="1:8">
      <c r="A77" s="51"/>
      <c r="B77" s="67" t="s">
        <v>242</v>
      </c>
      <c r="C77" s="51"/>
      <c r="D77" s="56">
        <v>3.4</v>
      </c>
      <c r="E77" s="56">
        <v>60</v>
      </c>
      <c r="F77" s="56"/>
      <c r="G77" s="71"/>
      <c r="H77" s="237"/>
    </row>
    <row r="78" spans="1:8">
      <c r="A78" s="51"/>
      <c r="B78" s="67" t="s">
        <v>467</v>
      </c>
      <c r="C78" s="51"/>
      <c r="D78" s="56">
        <v>22.7</v>
      </c>
      <c r="E78" s="56"/>
      <c r="F78" s="56"/>
      <c r="G78" s="71"/>
      <c r="H78" s="237"/>
    </row>
    <row r="79" spans="1:8">
      <c r="A79" s="51"/>
      <c r="B79" s="67" t="s">
        <v>237</v>
      </c>
      <c r="C79" s="51"/>
      <c r="D79" s="56"/>
      <c r="E79" s="56">
        <v>62</v>
      </c>
      <c r="F79" s="56">
        <f>118.4+49.5</f>
        <v>167.9</v>
      </c>
      <c r="G79" s="71">
        <f t="shared" si="8"/>
        <v>105.9</v>
      </c>
      <c r="H79" s="237">
        <f t="shared" si="7"/>
        <v>270.80645161290323</v>
      </c>
    </row>
    <row r="80" spans="1:8" ht="37.5">
      <c r="A80" s="51"/>
      <c r="B80" s="66" t="s">
        <v>228</v>
      </c>
      <c r="C80" s="48"/>
      <c r="D80" s="56"/>
      <c r="E80" s="56">
        <v>6</v>
      </c>
      <c r="F80" s="56">
        <v>4.7</v>
      </c>
      <c r="G80" s="71">
        <f t="shared" si="8"/>
        <v>-1.2999999999999998</v>
      </c>
      <c r="H80" s="237">
        <f t="shared" si="7"/>
        <v>78.333333333333329</v>
      </c>
    </row>
    <row r="81" spans="1:8">
      <c r="A81" s="51"/>
      <c r="B81" s="67" t="s">
        <v>229</v>
      </c>
      <c r="C81" s="48"/>
      <c r="D81" s="56"/>
      <c r="E81" s="56">
        <v>9</v>
      </c>
      <c r="F81" s="56">
        <v>8.3000000000000007</v>
      </c>
      <c r="G81" s="71">
        <f t="shared" si="8"/>
        <v>-0.69999999999999929</v>
      </c>
      <c r="H81" s="237">
        <f t="shared" si="7"/>
        <v>92.222222222222229</v>
      </c>
    </row>
    <row r="82" spans="1:8">
      <c r="A82" s="51"/>
      <c r="B82" s="67" t="s">
        <v>230</v>
      </c>
      <c r="C82" s="48"/>
      <c r="D82" s="56">
        <v>3.9</v>
      </c>
      <c r="E82" s="56">
        <v>5</v>
      </c>
      <c r="F82" s="56">
        <v>4.8</v>
      </c>
      <c r="G82" s="71">
        <f t="shared" si="8"/>
        <v>-0.20000000000000018</v>
      </c>
      <c r="H82" s="237">
        <f t="shared" si="7"/>
        <v>96</v>
      </c>
    </row>
    <row r="83" spans="1:8">
      <c r="A83" s="51"/>
      <c r="B83" s="67" t="s">
        <v>406</v>
      </c>
      <c r="C83" s="48"/>
      <c r="D83" s="56"/>
      <c r="E83" s="56">
        <v>0.4</v>
      </c>
      <c r="F83" s="56">
        <v>0.5</v>
      </c>
      <c r="G83" s="71">
        <f t="shared" si="8"/>
        <v>9.9999999999999978E-2</v>
      </c>
      <c r="H83" s="237">
        <f t="shared" si="7"/>
        <v>125</v>
      </c>
    </row>
    <row r="84" spans="1:8" ht="35.25" customHeight="1">
      <c r="A84" s="51"/>
      <c r="B84" s="100" t="s">
        <v>429</v>
      </c>
      <c r="C84" s="48"/>
      <c r="D84" s="56"/>
      <c r="E84" s="56"/>
      <c r="F84" s="56">
        <v>110</v>
      </c>
      <c r="G84" s="71">
        <f t="shared" si="8"/>
        <v>110</v>
      </c>
      <c r="H84" s="237"/>
    </row>
    <row r="85" spans="1:8">
      <c r="A85" s="51"/>
      <c r="B85" s="103" t="s">
        <v>430</v>
      </c>
      <c r="C85" s="48"/>
      <c r="D85" s="56"/>
      <c r="E85" s="56"/>
      <c r="F85" s="56">
        <v>0.6</v>
      </c>
      <c r="G85" s="71">
        <f t="shared" si="8"/>
        <v>0.6</v>
      </c>
      <c r="H85" s="237"/>
    </row>
    <row r="86" spans="1:8">
      <c r="A86" s="51"/>
      <c r="B86" s="103" t="s">
        <v>431</v>
      </c>
      <c r="C86" s="48"/>
      <c r="D86" s="56"/>
      <c r="E86" s="56"/>
      <c r="F86" s="56">
        <v>11</v>
      </c>
      <c r="G86" s="71">
        <f t="shared" si="8"/>
        <v>11</v>
      </c>
      <c r="H86" s="237"/>
    </row>
    <row r="87" spans="1:8">
      <c r="A87" s="51"/>
      <c r="B87" s="103" t="s">
        <v>432</v>
      </c>
      <c r="C87" s="48"/>
      <c r="D87" s="56"/>
      <c r="E87" s="56"/>
      <c r="F87" s="56">
        <v>2.8</v>
      </c>
      <c r="G87" s="71">
        <f t="shared" si="8"/>
        <v>2.8</v>
      </c>
      <c r="H87" s="237"/>
    </row>
    <row r="88" spans="1:8">
      <c r="A88" s="51"/>
      <c r="B88" s="103" t="s">
        <v>433</v>
      </c>
      <c r="C88" s="48"/>
      <c r="D88" s="56"/>
      <c r="E88" s="56"/>
      <c r="F88" s="56">
        <v>3.1</v>
      </c>
      <c r="G88" s="71">
        <f t="shared" si="8"/>
        <v>3.1</v>
      </c>
      <c r="H88" s="237"/>
    </row>
    <row r="89" spans="1:8" ht="37.5">
      <c r="A89" s="51"/>
      <c r="B89" s="100" t="s">
        <v>434</v>
      </c>
      <c r="C89" s="48"/>
      <c r="D89" s="56">
        <v>8.8000000000000007</v>
      </c>
      <c r="E89" s="56"/>
      <c r="F89" s="56">
        <v>8.8000000000000007</v>
      </c>
      <c r="G89" s="71">
        <f t="shared" si="8"/>
        <v>8.8000000000000007</v>
      </c>
      <c r="H89" s="237"/>
    </row>
    <row r="90" spans="1:8">
      <c r="A90" s="51"/>
      <c r="B90" s="105" t="s">
        <v>254</v>
      </c>
      <c r="C90" s="48"/>
      <c r="D90" s="56"/>
      <c r="E90" s="56"/>
      <c r="F90" s="56">
        <v>12</v>
      </c>
      <c r="G90" s="71">
        <f t="shared" si="8"/>
        <v>12</v>
      </c>
      <c r="H90" s="237"/>
    </row>
    <row r="91" spans="1:8">
      <c r="A91" s="51"/>
      <c r="B91" s="103" t="s">
        <v>477</v>
      </c>
      <c r="C91" s="48"/>
      <c r="D91" s="56"/>
      <c r="E91" s="56"/>
      <c r="F91" s="56">
        <v>1.4</v>
      </c>
      <c r="G91" s="71">
        <f t="shared" si="8"/>
        <v>1.4</v>
      </c>
      <c r="H91" s="237"/>
    </row>
    <row r="92" spans="1:8">
      <c r="A92" s="51"/>
      <c r="B92" s="103" t="s">
        <v>478</v>
      </c>
      <c r="C92" s="48"/>
      <c r="D92" s="56"/>
      <c r="E92" s="56"/>
      <c r="F92" s="56">
        <v>9.6</v>
      </c>
      <c r="G92" s="71">
        <f t="shared" si="8"/>
        <v>9.6</v>
      </c>
      <c r="H92" s="237"/>
    </row>
    <row r="93" spans="1:8" ht="40.5" customHeight="1">
      <c r="A93" s="51"/>
      <c r="B93" s="100" t="s">
        <v>479</v>
      </c>
      <c r="C93" s="48"/>
      <c r="D93" s="56"/>
      <c r="E93" s="56"/>
      <c r="F93" s="56">
        <v>21</v>
      </c>
      <c r="G93" s="71">
        <f t="shared" si="8"/>
        <v>21</v>
      </c>
      <c r="H93" s="237"/>
    </row>
    <row r="94" spans="1:8">
      <c r="A94" s="51"/>
      <c r="B94" s="103" t="s">
        <v>480</v>
      </c>
      <c r="C94" s="48"/>
      <c r="D94" s="56"/>
      <c r="E94" s="56"/>
      <c r="F94" s="56">
        <v>1.2</v>
      </c>
      <c r="G94" s="71">
        <f t="shared" si="8"/>
        <v>1.2</v>
      </c>
      <c r="H94" s="237"/>
    </row>
    <row r="95" spans="1:8">
      <c r="A95" s="51"/>
      <c r="B95" s="103" t="s">
        <v>446</v>
      </c>
      <c r="C95" s="48"/>
      <c r="D95" s="56"/>
      <c r="E95" s="56"/>
      <c r="F95" s="56">
        <v>3.7</v>
      </c>
      <c r="G95" s="71">
        <f t="shared" si="8"/>
        <v>3.7</v>
      </c>
      <c r="H95" s="237"/>
    </row>
    <row r="96" spans="1:8">
      <c r="A96" s="368" t="s">
        <v>119</v>
      </c>
      <c r="B96" s="368"/>
      <c r="C96" s="51"/>
      <c r="D96" s="53"/>
      <c r="E96" s="53"/>
      <c r="F96" s="53"/>
      <c r="G96" s="69"/>
      <c r="H96" s="237"/>
    </row>
    <row r="97" spans="1:8">
      <c r="A97" s="366" t="s">
        <v>191</v>
      </c>
      <c r="B97" s="367"/>
      <c r="C97" s="51">
        <v>1021</v>
      </c>
      <c r="D97" s="53">
        <f>SUM(D98:D99)</f>
        <v>41</v>
      </c>
      <c r="E97" s="53">
        <f t="shared" ref="E97:H97" si="9">SUM(E98:E99)</f>
        <v>32</v>
      </c>
      <c r="F97" s="53">
        <f t="shared" si="9"/>
        <v>48.1</v>
      </c>
      <c r="G97" s="69">
        <f t="shared" si="9"/>
        <v>16.100000000000001</v>
      </c>
      <c r="H97" s="69">
        <f t="shared" si="9"/>
        <v>302.30158730158729</v>
      </c>
    </row>
    <row r="98" spans="1:8">
      <c r="A98" s="70"/>
      <c r="B98" s="61" t="s">
        <v>234</v>
      </c>
      <c r="C98" s="48"/>
      <c r="D98" s="56">
        <v>24.6</v>
      </c>
      <c r="E98" s="56">
        <v>18</v>
      </c>
      <c r="F98" s="56">
        <v>26</v>
      </c>
      <c r="G98" s="71">
        <f t="shared" ref="G98:G99" si="10">F98-E98</f>
        <v>8</v>
      </c>
      <c r="H98" s="237">
        <f t="shared" ref="H98:H100" si="11">(F98/E98)*100</f>
        <v>144.44444444444443</v>
      </c>
    </row>
    <row r="99" spans="1:8">
      <c r="A99" s="72"/>
      <c r="B99" s="67" t="s">
        <v>203</v>
      </c>
      <c r="C99" s="51"/>
      <c r="D99" s="56">
        <v>16.399999999999999</v>
      </c>
      <c r="E99" s="56">
        <v>14</v>
      </c>
      <c r="F99" s="56">
        <v>22.1</v>
      </c>
      <c r="G99" s="71">
        <f t="shared" si="10"/>
        <v>8.1000000000000014</v>
      </c>
      <c r="H99" s="237">
        <f t="shared" si="11"/>
        <v>157.85714285714286</v>
      </c>
    </row>
    <row r="100" spans="1:8">
      <c r="A100" s="366" t="s">
        <v>120</v>
      </c>
      <c r="B100" s="367"/>
      <c r="C100" s="51">
        <v>1025</v>
      </c>
      <c r="D100" s="53">
        <f>SUM(D101:D105)</f>
        <v>0</v>
      </c>
      <c r="E100" s="53">
        <f>SUM(E101:E105)</f>
        <v>75.8</v>
      </c>
      <c r="F100" s="53">
        <f>SUM(F101:F105)</f>
        <v>59</v>
      </c>
      <c r="G100" s="241">
        <f>SUM(G101:G105)</f>
        <v>-16.799999999999997</v>
      </c>
      <c r="H100" s="236">
        <f t="shared" si="11"/>
        <v>77.836411609498683</v>
      </c>
    </row>
    <row r="101" spans="1:8" ht="37.5">
      <c r="A101" s="51"/>
      <c r="B101" s="100" t="s">
        <v>235</v>
      </c>
      <c r="C101" s="51"/>
      <c r="D101" s="56"/>
      <c r="E101" s="56">
        <v>3</v>
      </c>
      <c r="F101" s="56">
        <v>5</v>
      </c>
      <c r="G101" s="71">
        <f t="shared" ref="G101:G104" si="12">F101-E101</f>
        <v>2</v>
      </c>
      <c r="H101" s="237">
        <f t="shared" ref="H101:H102" si="13">(F101/E101)*100</f>
        <v>166.66666666666669</v>
      </c>
    </row>
    <row r="102" spans="1:8">
      <c r="A102" s="51"/>
      <c r="B102" s="61" t="s">
        <v>236</v>
      </c>
      <c r="C102" s="51"/>
      <c r="D102" s="56"/>
      <c r="E102" s="56">
        <v>30</v>
      </c>
      <c r="F102" s="56">
        <v>26.5</v>
      </c>
      <c r="G102" s="71">
        <f t="shared" si="12"/>
        <v>-3.5</v>
      </c>
      <c r="H102" s="237">
        <f t="shared" si="13"/>
        <v>88.333333333333329</v>
      </c>
    </row>
    <row r="103" spans="1:8" ht="21" customHeight="1">
      <c r="A103" s="73"/>
      <c r="B103" s="55" t="s">
        <v>243</v>
      </c>
      <c r="C103" s="48"/>
      <c r="D103" s="56"/>
      <c r="E103" s="56">
        <v>9</v>
      </c>
      <c r="F103" s="56">
        <v>10</v>
      </c>
      <c r="G103" s="71">
        <f t="shared" si="12"/>
        <v>1</v>
      </c>
      <c r="H103" s="237">
        <f>F103/E103*100</f>
        <v>111.11111111111111</v>
      </c>
    </row>
    <row r="104" spans="1:8">
      <c r="A104" s="73"/>
      <c r="B104" s="55" t="s">
        <v>407</v>
      </c>
      <c r="C104" s="48"/>
      <c r="D104" s="56"/>
      <c r="E104" s="56">
        <v>33.799999999999997</v>
      </c>
      <c r="F104" s="56">
        <v>16.8</v>
      </c>
      <c r="G104" s="71">
        <f t="shared" si="12"/>
        <v>-16.999999999999996</v>
      </c>
      <c r="H104" s="237">
        <f>F104/E104*100</f>
        <v>49.704142011834321</v>
      </c>
    </row>
    <row r="105" spans="1:8">
      <c r="A105" s="67"/>
      <c r="B105" s="105" t="s">
        <v>435</v>
      </c>
      <c r="C105" s="48"/>
      <c r="D105" s="56"/>
      <c r="E105" s="56"/>
      <c r="F105" s="56">
        <v>0.7</v>
      </c>
      <c r="G105" s="71">
        <f t="shared" ref="G105" si="14">F105-E105</f>
        <v>0.7</v>
      </c>
      <c r="H105" s="237"/>
    </row>
    <row r="106" spans="1:8">
      <c r="A106" s="369" t="s">
        <v>130</v>
      </c>
      <c r="B106" s="370"/>
      <c r="C106" s="51"/>
      <c r="D106" s="53"/>
      <c r="E106" s="53"/>
      <c r="F106" s="53"/>
      <c r="G106" s="71"/>
      <c r="H106" s="237"/>
    </row>
    <row r="107" spans="1:8" ht="25.5" customHeight="1">
      <c r="A107" s="366" t="s">
        <v>191</v>
      </c>
      <c r="B107" s="367"/>
      <c r="C107" s="51">
        <v>1031</v>
      </c>
      <c r="D107" s="53">
        <f>SUM(D108:D124)</f>
        <v>2644.6</v>
      </c>
      <c r="E107" s="53">
        <f>SUM(E108:E120)</f>
        <v>2826.7</v>
      </c>
      <c r="F107" s="53">
        <f>SUM(F108:F120)</f>
        <v>6100.2000000000007</v>
      </c>
      <c r="G107" s="69">
        <f>SUM(G108:G120)</f>
        <v>3273.5000000000005</v>
      </c>
      <c r="H107" s="242">
        <f>F107/E107*100</f>
        <v>215.80641737715362</v>
      </c>
    </row>
    <row r="108" spans="1:8" ht="37.5">
      <c r="A108" s="72"/>
      <c r="B108" s="61" t="s">
        <v>206</v>
      </c>
      <c r="C108" s="51"/>
      <c r="D108" s="56">
        <v>0.8</v>
      </c>
      <c r="E108" s="56"/>
      <c r="F108" s="56"/>
      <c r="G108" s="71">
        <f t="shared" ref="G108:G155" si="15">F108-E108</f>
        <v>0</v>
      </c>
      <c r="H108" s="243"/>
    </row>
    <row r="109" spans="1:8">
      <c r="A109" s="72"/>
      <c r="B109" s="61" t="s">
        <v>442</v>
      </c>
      <c r="C109" s="51"/>
      <c r="D109" s="56">
        <v>33.9</v>
      </c>
      <c r="E109" s="56"/>
      <c r="F109" s="56">
        <v>5.6</v>
      </c>
      <c r="G109" s="71">
        <f t="shared" si="15"/>
        <v>5.6</v>
      </c>
      <c r="H109" s="243"/>
    </row>
    <row r="110" spans="1:8" ht="75">
      <c r="A110" s="72"/>
      <c r="B110" s="61" t="s">
        <v>245</v>
      </c>
      <c r="C110" s="51"/>
      <c r="D110" s="56">
        <v>265</v>
      </c>
      <c r="E110" s="56">
        <v>581.6</v>
      </c>
      <c r="F110" s="56">
        <v>470.4</v>
      </c>
      <c r="G110" s="71">
        <f t="shared" si="15"/>
        <v>-111.20000000000005</v>
      </c>
      <c r="H110" s="243">
        <f t="shared" ref="H110:H155" si="16">(F110/E110)*100</f>
        <v>80.880330123796412</v>
      </c>
    </row>
    <row r="111" spans="1:8" ht="37.5">
      <c r="A111" s="72"/>
      <c r="B111" s="61" t="s">
        <v>246</v>
      </c>
      <c r="C111" s="51"/>
      <c r="D111" s="56">
        <v>274.7</v>
      </c>
      <c r="E111" s="56">
        <v>266</v>
      </c>
      <c r="F111" s="56">
        <v>287.3</v>
      </c>
      <c r="G111" s="71">
        <f t="shared" si="15"/>
        <v>21.300000000000011</v>
      </c>
      <c r="H111" s="243">
        <f t="shared" si="16"/>
        <v>108.00751879699249</v>
      </c>
    </row>
    <row r="112" spans="1:8">
      <c r="A112" s="72"/>
      <c r="B112" s="61" t="s">
        <v>196</v>
      </c>
      <c r="C112" s="51"/>
      <c r="D112" s="56">
        <v>40.700000000000003</v>
      </c>
      <c r="E112" s="56"/>
      <c r="F112" s="56"/>
      <c r="G112" s="71">
        <f t="shared" si="15"/>
        <v>0</v>
      </c>
      <c r="H112" s="243"/>
    </row>
    <row r="113" spans="1:8" hidden="1">
      <c r="A113" s="72"/>
      <c r="B113" s="61"/>
      <c r="C113" s="51"/>
      <c r="D113" s="56"/>
      <c r="E113" s="56"/>
      <c r="F113" s="56"/>
      <c r="G113" s="71">
        <f t="shared" si="15"/>
        <v>0</v>
      </c>
      <c r="H113" s="243"/>
    </row>
    <row r="114" spans="1:8">
      <c r="A114" s="72"/>
      <c r="B114" s="66" t="s">
        <v>203</v>
      </c>
      <c r="C114" s="51"/>
      <c r="D114" s="56">
        <v>17</v>
      </c>
      <c r="E114" s="56"/>
      <c r="F114" s="56"/>
      <c r="G114" s="71">
        <f t="shared" si="15"/>
        <v>0</v>
      </c>
      <c r="H114" s="243"/>
    </row>
    <row r="115" spans="1:8">
      <c r="A115" s="72"/>
      <c r="B115" s="55" t="s">
        <v>192</v>
      </c>
      <c r="C115" s="51"/>
      <c r="D115" s="56">
        <v>91.8</v>
      </c>
      <c r="E115" s="56"/>
      <c r="F115" s="56">
        <v>2.2999999999999998</v>
      </c>
      <c r="G115" s="71">
        <f t="shared" si="15"/>
        <v>2.2999999999999998</v>
      </c>
      <c r="H115" s="243"/>
    </row>
    <row r="116" spans="1:8">
      <c r="A116" s="72"/>
      <c r="B116" s="76" t="s">
        <v>247</v>
      </c>
      <c r="C116" s="51"/>
      <c r="D116" s="56">
        <v>1237.5999999999999</v>
      </c>
      <c r="E116" s="56">
        <v>1958.6</v>
      </c>
      <c r="F116" s="56">
        <v>5328.6</v>
      </c>
      <c r="G116" s="71">
        <f t="shared" si="15"/>
        <v>3370.0000000000005</v>
      </c>
      <c r="H116" s="243">
        <f t="shared" si="16"/>
        <v>272.0616767078526</v>
      </c>
    </row>
    <row r="117" spans="1:8">
      <c r="A117" s="217"/>
      <c r="B117" s="76" t="s">
        <v>300</v>
      </c>
      <c r="C117" s="51"/>
      <c r="D117" s="56"/>
      <c r="E117" s="56">
        <v>16</v>
      </c>
      <c r="F117" s="56">
        <v>3.4</v>
      </c>
      <c r="G117" s="71">
        <f t="shared" si="15"/>
        <v>-12.6</v>
      </c>
      <c r="H117" s="243">
        <f t="shared" si="16"/>
        <v>21.25</v>
      </c>
    </row>
    <row r="118" spans="1:8">
      <c r="A118" s="77"/>
      <c r="B118" s="76" t="s">
        <v>249</v>
      </c>
      <c r="C118" s="51"/>
      <c r="D118" s="56">
        <v>3.1</v>
      </c>
      <c r="E118" s="56">
        <v>4.5</v>
      </c>
      <c r="F118" s="56">
        <v>2.6</v>
      </c>
      <c r="G118" s="71">
        <f t="shared" si="15"/>
        <v>-1.9</v>
      </c>
      <c r="H118" s="243">
        <f t="shared" si="16"/>
        <v>57.777777777777786</v>
      </c>
    </row>
    <row r="119" spans="1:8">
      <c r="A119" s="77"/>
      <c r="B119" s="216" t="s">
        <v>301</v>
      </c>
      <c r="C119" s="51"/>
      <c r="D119" s="56">
        <v>48.2</v>
      </c>
      <c r="E119" s="56"/>
      <c r="F119" s="56"/>
      <c r="G119" s="71">
        <f t="shared" si="15"/>
        <v>0</v>
      </c>
      <c r="H119" s="243"/>
    </row>
    <row r="120" spans="1:8">
      <c r="A120" s="77"/>
      <c r="B120" s="61" t="s">
        <v>250</v>
      </c>
      <c r="C120" s="51"/>
      <c r="D120" s="56">
        <v>3.4</v>
      </c>
      <c r="E120" s="56"/>
      <c r="F120" s="56"/>
      <c r="G120" s="71">
        <f t="shared" si="15"/>
        <v>0</v>
      </c>
      <c r="H120" s="243"/>
    </row>
    <row r="121" spans="1:8">
      <c r="A121" s="253"/>
      <c r="B121" s="61" t="s">
        <v>241</v>
      </c>
      <c r="C121" s="51"/>
      <c r="D121" s="56">
        <f>390.9</f>
        <v>390.9</v>
      </c>
      <c r="E121" s="56"/>
      <c r="F121" s="56"/>
      <c r="G121" s="71"/>
      <c r="H121" s="243"/>
    </row>
    <row r="122" spans="1:8">
      <c r="A122" s="253"/>
      <c r="B122" s="61" t="s">
        <v>401</v>
      </c>
      <c r="C122" s="51"/>
      <c r="D122" s="56">
        <v>23.7</v>
      </c>
      <c r="E122" s="56"/>
      <c r="F122" s="56"/>
      <c r="G122" s="71"/>
      <c r="H122" s="243"/>
    </row>
    <row r="123" spans="1:8">
      <c r="A123" s="254"/>
      <c r="B123" s="55" t="s">
        <v>210</v>
      </c>
      <c r="C123" s="51"/>
      <c r="D123" s="56">
        <f>204.9</f>
        <v>204.9</v>
      </c>
      <c r="E123" s="56"/>
      <c r="F123" s="56"/>
      <c r="G123" s="71"/>
      <c r="H123" s="243"/>
    </row>
    <row r="124" spans="1:8">
      <c r="A124" s="254"/>
      <c r="B124" s="55" t="s">
        <v>211</v>
      </c>
      <c r="C124" s="51"/>
      <c r="D124" s="56">
        <f>8.9</f>
        <v>8.9</v>
      </c>
      <c r="E124" s="56"/>
      <c r="F124" s="56"/>
      <c r="G124" s="71"/>
      <c r="H124" s="243"/>
    </row>
    <row r="125" spans="1:8" ht="21.75" customHeight="1">
      <c r="A125" s="366" t="s">
        <v>130</v>
      </c>
      <c r="B125" s="367"/>
      <c r="C125" s="51">
        <v>1035</v>
      </c>
      <c r="D125" s="53">
        <f>SUM(D126:D149)</f>
        <v>1309.8</v>
      </c>
      <c r="E125" s="53">
        <f>SUM(E126:E151)</f>
        <v>1271.2</v>
      </c>
      <c r="F125" s="53">
        <f>SUM(F126:F151)</f>
        <v>1047.2</v>
      </c>
      <c r="G125" s="69">
        <f>SUM(G126:G149)</f>
        <v>-243.20000000000002</v>
      </c>
      <c r="H125" s="242">
        <f>F125/E125*100</f>
        <v>82.378854625550659</v>
      </c>
    </row>
    <row r="126" spans="1:8">
      <c r="A126" s="217"/>
      <c r="B126" s="55" t="s">
        <v>251</v>
      </c>
      <c r="C126" s="51"/>
      <c r="D126" s="53"/>
      <c r="E126" s="56">
        <v>127.6</v>
      </c>
      <c r="F126" s="53"/>
      <c r="G126" s="71">
        <f>F126-E126</f>
        <v>-127.6</v>
      </c>
      <c r="H126" s="242"/>
    </row>
    <row r="127" spans="1:8">
      <c r="A127" s="72"/>
      <c r="B127" s="55" t="s">
        <v>465</v>
      </c>
      <c r="C127" s="51"/>
      <c r="D127" s="56">
        <v>7.3</v>
      </c>
      <c r="E127" s="56">
        <v>16.2</v>
      </c>
      <c r="F127" s="56">
        <v>13.6</v>
      </c>
      <c r="G127" s="71">
        <f t="shared" ref="G127:G150" si="17">F127-E127</f>
        <v>-2.5999999999999996</v>
      </c>
      <c r="H127" s="243">
        <f t="shared" si="16"/>
        <v>83.950617283950621</v>
      </c>
    </row>
    <row r="128" spans="1:8">
      <c r="A128" s="72"/>
      <c r="B128" s="55" t="s">
        <v>252</v>
      </c>
      <c r="C128" s="51"/>
      <c r="D128" s="56">
        <v>7</v>
      </c>
      <c r="E128" s="56">
        <v>6</v>
      </c>
      <c r="F128" s="56">
        <v>10.199999999999999</v>
      </c>
      <c r="G128" s="71">
        <f t="shared" si="17"/>
        <v>4.1999999999999993</v>
      </c>
      <c r="H128" s="243">
        <f t="shared" si="16"/>
        <v>170</v>
      </c>
    </row>
    <row r="129" spans="1:8">
      <c r="A129" s="72"/>
      <c r="B129" s="55" t="s">
        <v>253</v>
      </c>
      <c r="C129" s="51"/>
      <c r="D129" s="56">
        <v>2.2999999999999998</v>
      </c>
      <c r="E129" s="56">
        <v>3.3</v>
      </c>
      <c r="F129" s="56">
        <f>1.8+1.1</f>
        <v>2.9000000000000004</v>
      </c>
      <c r="G129" s="71">
        <f t="shared" si="17"/>
        <v>-0.39999999999999947</v>
      </c>
      <c r="H129" s="243">
        <f t="shared" si="16"/>
        <v>87.87878787878789</v>
      </c>
    </row>
    <row r="130" spans="1:8" ht="37.5">
      <c r="A130" s="258"/>
      <c r="B130" s="105" t="s">
        <v>481</v>
      </c>
      <c r="C130" s="51"/>
      <c r="D130" s="56"/>
      <c r="E130" s="56"/>
      <c r="F130" s="56">
        <v>2.8</v>
      </c>
      <c r="G130" s="71">
        <f t="shared" si="17"/>
        <v>2.8</v>
      </c>
      <c r="H130" s="261" t="e">
        <f t="shared" si="16"/>
        <v>#DIV/0!</v>
      </c>
    </row>
    <row r="131" spans="1:8" ht="37.5">
      <c r="A131" s="258"/>
      <c r="B131" s="105" t="s">
        <v>482</v>
      </c>
      <c r="C131" s="51"/>
      <c r="D131" s="56"/>
      <c r="E131" s="56"/>
      <c r="F131" s="56">
        <v>1.7</v>
      </c>
      <c r="G131" s="71">
        <f t="shared" si="17"/>
        <v>1.7</v>
      </c>
      <c r="H131" s="261" t="e">
        <f t="shared" si="16"/>
        <v>#DIV/0!</v>
      </c>
    </row>
    <row r="132" spans="1:8" ht="24" customHeight="1">
      <c r="A132" s="72"/>
      <c r="B132" s="61" t="s">
        <v>400</v>
      </c>
      <c r="C132" s="51"/>
      <c r="D132" s="56">
        <v>1.8</v>
      </c>
      <c r="E132" s="56"/>
      <c r="F132" s="56"/>
      <c r="G132" s="71">
        <f t="shared" si="17"/>
        <v>0</v>
      </c>
      <c r="H132" s="243"/>
    </row>
    <row r="133" spans="1:8" ht="37.5">
      <c r="A133" s="51"/>
      <c r="B133" s="61" t="s">
        <v>255</v>
      </c>
      <c r="C133" s="51"/>
      <c r="D133" s="56">
        <v>63.9</v>
      </c>
      <c r="E133" s="56">
        <v>61.3</v>
      </c>
      <c r="F133" s="56">
        <v>36.5</v>
      </c>
      <c r="G133" s="71">
        <f t="shared" si="17"/>
        <v>-24.799999999999997</v>
      </c>
      <c r="H133" s="243">
        <f t="shared" si="16"/>
        <v>59.543230016313217</v>
      </c>
    </row>
    <row r="134" spans="1:8">
      <c r="A134" s="51"/>
      <c r="B134" s="73" t="s">
        <v>405</v>
      </c>
      <c r="C134" s="51"/>
      <c r="D134" s="56">
        <v>14</v>
      </c>
      <c r="E134" s="56"/>
      <c r="F134" s="56"/>
      <c r="G134" s="71">
        <f t="shared" si="17"/>
        <v>0</v>
      </c>
      <c r="H134" s="243"/>
    </row>
    <row r="135" spans="1:8">
      <c r="A135" s="51"/>
      <c r="B135" s="79" t="s">
        <v>212</v>
      </c>
      <c r="C135" s="51"/>
      <c r="D135" s="56">
        <v>12.9</v>
      </c>
      <c r="E135" s="56"/>
      <c r="F135" s="56"/>
      <c r="G135" s="71">
        <f t="shared" si="17"/>
        <v>0</v>
      </c>
      <c r="H135" s="243"/>
    </row>
    <row r="136" spans="1:8">
      <c r="A136" s="51"/>
      <c r="B136" s="79" t="s">
        <v>254</v>
      </c>
      <c r="C136" s="51"/>
      <c r="D136" s="56">
        <v>455</v>
      </c>
      <c r="E136" s="56"/>
      <c r="F136" s="56">
        <v>1.7</v>
      </c>
      <c r="G136" s="71">
        <f t="shared" si="17"/>
        <v>1.7</v>
      </c>
      <c r="H136" s="243"/>
    </row>
    <row r="137" spans="1:8" ht="37.5">
      <c r="A137" s="51"/>
      <c r="B137" s="79" t="s">
        <v>408</v>
      </c>
      <c r="C137" s="51"/>
      <c r="D137" s="56"/>
      <c r="E137" s="56">
        <v>8</v>
      </c>
      <c r="F137" s="56"/>
      <c r="G137" s="71">
        <f t="shared" si="17"/>
        <v>-8</v>
      </c>
      <c r="H137" s="243"/>
    </row>
    <row r="138" spans="1:8">
      <c r="A138" s="51"/>
      <c r="B138" s="80" t="s">
        <v>256</v>
      </c>
      <c r="C138" s="51"/>
      <c r="D138" s="56"/>
      <c r="E138" s="56">
        <v>17</v>
      </c>
      <c r="F138" s="56"/>
      <c r="G138" s="71">
        <f t="shared" si="17"/>
        <v>-17</v>
      </c>
      <c r="H138" s="243"/>
    </row>
    <row r="139" spans="1:8">
      <c r="A139" s="51"/>
      <c r="B139" s="80" t="s">
        <v>409</v>
      </c>
      <c r="C139" s="51"/>
      <c r="D139" s="56"/>
      <c r="E139" s="56">
        <v>17</v>
      </c>
      <c r="F139" s="56">
        <v>1</v>
      </c>
      <c r="G139" s="71">
        <f t="shared" si="17"/>
        <v>-16</v>
      </c>
      <c r="H139" s="243">
        <f>F139/E139*100</f>
        <v>5.8823529411764701</v>
      </c>
    </row>
    <row r="140" spans="1:8">
      <c r="A140" s="51"/>
      <c r="B140" s="80" t="s">
        <v>259</v>
      </c>
      <c r="C140" s="51"/>
      <c r="D140" s="56"/>
      <c r="E140" s="56">
        <v>35</v>
      </c>
      <c r="F140" s="56"/>
      <c r="G140" s="71">
        <f t="shared" si="17"/>
        <v>-35</v>
      </c>
      <c r="H140" s="243"/>
    </row>
    <row r="141" spans="1:8">
      <c r="A141" s="51"/>
      <c r="B141" s="80" t="s">
        <v>238</v>
      </c>
      <c r="C141" s="51"/>
      <c r="D141" s="56"/>
      <c r="E141" s="56">
        <v>10</v>
      </c>
      <c r="F141" s="56"/>
      <c r="G141" s="71">
        <f t="shared" si="17"/>
        <v>-10</v>
      </c>
      <c r="H141" s="243"/>
    </row>
    <row r="142" spans="1:8">
      <c r="A142" s="51"/>
      <c r="B142" s="61" t="s">
        <v>410</v>
      </c>
      <c r="C142" s="51"/>
      <c r="D142" s="56"/>
      <c r="E142" s="56">
        <v>2</v>
      </c>
      <c r="F142" s="56"/>
      <c r="G142" s="71">
        <f t="shared" si="17"/>
        <v>-2</v>
      </c>
      <c r="H142" s="243">
        <f t="shared" si="16"/>
        <v>0</v>
      </c>
    </row>
    <row r="143" spans="1:8" ht="37.5">
      <c r="A143" s="73"/>
      <c r="B143" s="61" t="s">
        <v>411</v>
      </c>
      <c r="C143" s="48"/>
      <c r="D143" s="56"/>
      <c r="E143" s="56">
        <v>49.7</v>
      </c>
      <c r="F143" s="56"/>
      <c r="G143" s="71">
        <f t="shared" si="17"/>
        <v>-49.7</v>
      </c>
      <c r="H143" s="243">
        <f t="shared" si="16"/>
        <v>0</v>
      </c>
    </row>
    <row r="144" spans="1:8">
      <c r="A144" s="51"/>
      <c r="B144" s="74" t="s">
        <v>261</v>
      </c>
      <c r="C144" s="51"/>
      <c r="D144" s="56">
        <v>20.5</v>
      </c>
      <c r="E144" s="56"/>
      <c r="F144" s="56"/>
      <c r="G144" s="71">
        <f t="shared" si="17"/>
        <v>0</v>
      </c>
      <c r="H144" s="243"/>
    </row>
    <row r="145" spans="1:9" ht="63.75" customHeight="1">
      <c r="A145" s="51"/>
      <c r="B145" s="65" t="s">
        <v>262</v>
      </c>
      <c r="C145" s="51"/>
      <c r="D145" s="56">
        <v>16.399999999999999</v>
      </c>
      <c r="E145" s="56">
        <v>88.3</v>
      </c>
      <c r="F145" s="56">
        <v>252.3</v>
      </c>
      <c r="G145" s="71">
        <f t="shared" si="17"/>
        <v>164</v>
      </c>
      <c r="H145" s="243">
        <f t="shared" si="16"/>
        <v>285.73046432616087</v>
      </c>
    </row>
    <row r="146" spans="1:9" ht="37.5">
      <c r="A146" s="51"/>
      <c r="B146" s="55" t="s">
        <v>263</v>
      </c>
      <c r="C146" s="51"/>
      <c r="D146" s="56">
        <v>658.9</v>
      </c>
      <c r="E146" s="56">
        <v>704.9</v>
      </c>
      <c r="F146" s="56">
        <v>699.3</v>
      </c>
      <c r="G146" s="71">
        <f t="shared" si="17"/>
        <v>-5.6000000000000227</v>
      </c>
      <c r="H146" s="243">
        <f t="shared" si="16"/>
        <v>99.205561072492557</v>
      </c>
    </row>
    <row r="147" spans="1:9">
      <c r="A147" s="51"/>
      <c r="B147" s="79" t="s">
        <v>222</v>
      </c>
      <c r="C147" s="51"/>
      <c r="D147" s="56"/>
      <c r="E147" s="56">
        <v>16.899999999999999</v>
      </c>
      <c r="F147" s="56"/>
      <c r="G147" s="71">
        <f t="shared" si="17"/>
        <v>-16.899999999999999</v>
      </c>
      <c r="H147" s="243">
        <f t="shared" si="16"/>
        <v>0</v>
      </c>
    </row>
    <row r="148" spans="1:9">
      <c r="A148" s="51"/>
      <c r="B148" s="73" t="s">
        <v>240</v>
      </c>
      <c r="C148" s="51"/>
      <c r="D148" s="56">
        <v>49.8</v>
      </c>
      <c r="E148" s="56">
        <v>100</v>
      </c>
      <c r="F148" s="56"/>
      <c r="G148" s="71">
        <f t="shared" si="17"/>
        <v>-100</v>
      </c>
      <c r="H148" s="239">
        <f t="shared" si="16"/>
        <v>0</v>
      </c>
    </row>
    <row r="149" spans="1:9">
      <c r="A149" s="51"/>
      <c r="B149" s="55" t="s">
        <v>244</v>
      </c>
      <c r="C149" s="51"/>
      <c r="D149" s="56"/>
      <c r="E149" s="56">
        <v>2</v>
      </c>
      <c r="F149" s="56"/>
      <c r="G149" s="71">
        <f t="shared" si="17"/>
        <v>-2</v>
      </c>
      <c r="H149" s="239">
        <f t="shared" si="16"/>
        <v>0</v>
      </c>
    </row>
    <row r="150" spans="1:9">
      <c r="A150" s="51"/>
      <c r="B150" s="55" t="s">
        <v>258</v>
      </c>
      <c r="C150" s="51"/>
      <c r="D150" s="56"/>
      <c r="E150" s="56">
        <v>6</v>
      </c>
      <c r="F150" s="56">
        <v>23</v>
      </c>
      <c r="G150" s="71">
        <f t="shared" si="17"/>
        <v>17</v>
      </c>
      <c r="H150" s="239">
        <f t="shared" si="16"/>
        <v>383.33333333333337</v>
      </c>
    </row>
    <row r="151" spans="1:9">
      <c r="A151" s="51"/>
      <c r="B151" s="103" t="s">
        <v>436</v>
      </c>
      <c r="C151" s="51"/>
      <c r="D151" s="56"/>
      <c r="E151" s="56"/>
      <c r="F151" s="56">
        <v>2.2000000000000002</v>
      </c>
      <c r="G151" s="71"/>
      <c r="H151" s="239"/>
    </row>
    <row r="152" spans="1:9">
      <c r="A152" s="218"/>
      <c r="B152" s="219"/>
      <c r="C152" s="218"/>
      <c r="D152" s="220"/>
      <c r="E152" s="220"/>
      <c r="F152" s="220"/>
      <c r="G152" s="221"/>
      <c r="H152" s="222" t="e">
        <f t="shared" si="16"/>
        <v>#DIV/0!</v>
      </c>
    </row>
    <row r="153" spans="1:9" ht="40.5">
      <c r="A153" s="218"/>
      <c r="B153" s="244" t="s">
        <v>320</v>
      </c>
      <c r="C153" s="140"/>
      <c r="D153" s="375"/>
      <c r="E153" s="376"/>
      <c r="F153" s="141"/>
      <c r="G153" s="349" t="s">
        <v>321</v>
      </c>
      <c r="H153" s="349"/>
      <c r="I153" s="223"/>
    </row>
    <row r="154" spans="1:9" ht="20.25">
      <c r="A154" s="218"/>
      <c r="B154" s="348" t="s">
        <v>12</v>
      </c>
      <c r="C154" s="143"/>
      <c r="D154" s="353" t="s">
        <v>13</v>
      </c>
      <c r="E154" s="353"/>
      <c r="F154" s="144"/>
      <c r="G154" s="350" t="s">
        <v>504</v>
      </c>
      <c r="H154" s="350"/>
      <c r="I154" s="252"/>
    </row>
    <row r="155" spans="1:9">
      <c r="A155" s="218"/>
      <c r="B155" s="136"/>
      <c r="C155" s="218"/>
      <c r="D155" s="220"/>
      <c r="E155" s="220"/>
      <c r="F155" s="220"/>
      <c r="G155" s="221">
        <f t="shared" si="15"/>
        <v>0</v>
      </c>
      <c r="H155" s="222" t="e">
        <f t="shared" si="16"/>
        <v>#DIV/0!</v>
      </c>
    </row>
    <row r="156" spans="1:9">
      <c r="B156" s="43"/>
    </row>
    <row r="157" spans="1:9">
      <c r="B157" s="43"/>
    </row>
    <row r="158" spans="1:9">
      <c r="B158" s="43"/>
    </row>
    <row r="159" spans="1:9">
      <c r="B159" s="43"/>
    </row>
    <row r="160" spans="1:9">
      <c r="B160" s="43"/>
    </row>
    <row r="161" spans="2:2">
      <c r="B161" s="43"/>
    </row>
    <row r="162" spans="2:2">
      <c r="B162" s="43"/>
    </row>
    <row r="163" spans="2:2">
      <c r="B163" s="43"/>
    </row>
    <row r="164" spans="2:2">
      <c r="B164" s="43"/>
    </row>
    <row r="165" spans="2:2">
      <c r="B165" s="43"/>
    </row>
    <row r="166" spans="2:2">
      <c r="B166" s="43"/>
    </row>
    <row r="167" spans="2:2">
      <c r="B167" s="43"/>
    </row>
    <row r="168" spans="2:2">
      <c r="B168" s="43"/>
    </row>
    <row r="169" spans="2:2">
      <c r="B169" s="43"/>
    </row>
    <row r="170" spans="2:2">
      <c r="B170" s="43"/>
    </row>
    <row r="171" spans="2:2">
      <c r="B171" s="43"/>
    </row>
    <row r="172" spans="2:2">
      <c r="B172" s="43"/>
    </row>
    <row r="173" spans="2:2">
      <c r="B173" s="43"/>
    </row>
    <row r="174" spans="2:2">
      <c r="B174" s="43"/>
    </row>
    <row r="175" spans="2:2">
      <c r="B175" s="43"/>
    </row>
    <row r="176" spans="2:2">
      <c r="B176" s="43"/>
    </row>
    <row r="177" spans="2:2">
      <c r="B177" s="43"/>
    </row>
    <row r="178" spans="2:2">
      <c r="B178" s="43"/>
    </row>
    <row r="179" spans="2:2">
      <c r="B179" s="43"/>
    </row>
    <row r="180" spans="2:2">
      <c r="B180" s="43"/>
    </row>
    <row r="181" spans="2:2">
      <c r="B181" s="43"/>
    </row>
    <row r="182" spans="2:2">
      <c r="B182" s="43"/>
    </row>
    <row r="183" spans="2:2">
      <c r="B183" s="43"/>
    </row>
    <row r="184" spans="2:2">
      <c r="B184" s="43"/>
    </row>
    <row r="185" spans="2:2">
      <c r="B185" s="43"/>
    </row>
    <row r="186" spans="2:2">
      <c r="B186" s="43"/>
    </row>
    <row r="187" spans="2:2">
      <c r="B187" s="43"/>
    </row>
    <row r="188" spans="2:2">
      <c r="B188" s="43"/>
    </row>
    <row r="189" spans="2:2">
      <c r="B189" s="43"/>
    </row>
    <row r="190" spans="2:2">
      <c r="B190" s="43"/>
    </row>
    <row r="191" spans="2:2">
      <c r="B191" s="43"/>
    </row>
    <row r="192" spans="2:2">
      <c r="B192" s="43"/>
    </row>
    <row r="193" spans="2:2">
      <c r="B193" s="43"/>
    </row>
    <row r="194" spans="2:2">
      <c r="B194" s="43"/>
    </row>
    <row r="195" spans="2:2">
      <c r="B195" s="43"/>
    </row>
    <row r="196" spans="2:2">
      <c r="B196" s="43"/>
    </row>
    <row r="197" spans="2:2">
      <c r="B197" s="43"/>
    </row>
    <row r="198" spans="2:2">
      <c r="B198" s="43"/>
    </row>
    <row r="199" spans="2:2">
      <c r="B199" s="43"/>
    </row>
    <row r="200" spans="2:2">
      <c r="B200" s="43"/>
    </row>
    <row r="201" spans="2:2">
      <c r="B201" s="43"/>
    </row>
    <row r="202" spans="2:2">
      <c r="B202" s="43"/>
    </row>
    <row r="203" spans="2:2">
      <c r="B203" s="43"/>
    </row>
    <row r="204" spans="2:2">
      <c r="B204" s="43"/>
    </row>
    <row r="205" spans="2:2">
      <c r="B205" s="43"/>
    </row>
    <row r="206" spans="2:2">
      <c r="B206" s="43"/>
    </row>
    <row r="207" spans="2:2">
      <c r="B207" s="43"/>
    </row>
    <row r="208" spans="2:2">
      <c r="B208" s="43"/>
    </row>
    <row r="209" spans="2:2">
      <c r="B209" s="43"/>
    </row>
    <row r="210" spans="2:2">
      <c r="B210" s="43"/>
    </row>
    <row r="211" spans="2:2">
      <c r="B211" s="43"/>
    </row>
    <row r="212" spans="2:2">
      <c r="B212" s="43"/>
    </row>
    <row r="213" spans="2:2">
      <c r="B213" s="43"/>
    </row>
    <row r="214" spans="2:2">
      <c r="B214" s="43"/>
    </row>
    <row r="215" spans="2:2">
      <c r="B215" s="43"/>
    </row>
    <row r="216" spans="2:2">
      <c r="B216" s="43"/>
    </row>
    <row r="217" spans="2:2">
      <c r="B217" s="43"/>
    </row>
    <row r="218" spans="2:2">
      <c r="B218" s="43"/>
    </row>
    <row r="219" spans="2:2">
      <c r="B219" s="43"/>
    </row>
    <row r="220" spans="2:2">
      <c r="B220" s="43"/>
    </row>
    <row r="221" spans="2:2">
      <c r="B221" s="43"/>
    </row>
    <row r="222" spans="2:2">
      <c r="B222" s="43"/>
    </row>
    <row r="223" spans="2:2">
      <c r="B223" s="43"/>
    </row>
    <row r="224" spans="2:2">
      <c r="B224" s="43"/>
    </row>
    <row r="225" spans="2:2">
      <c r="B225" s="43"/>
    </row>
    <row r="226" spans="2:2">
      <c r="B226" s="43"/>
    </row>
  </sheetData>
  <mergeCells count="20">
    <mergeCell ref="D153:E153"/>
    <mergeCell ref="G153:H153"/>
    <mergeCell ref="D154:E154"/>
    <mergeCell ref="A28:B28"/>
    <mergeCell ref="A29:B29"/>
    <mergeCell ref="G154:H154"/>
    <mergeCell ref="B2:F2"/>
    <mergeCell ref="A21:B21"/>
    <mergeCell ref="A23:B23"/>
    <mergeCell ref="A6:B6"/>
    <mergeCell ref="A7:B7"/>
    <mergeCell ref="A11:B11"/>
    <mergeCell ref="A27:B27"/>
    <mergeCell ref="A107:B107"/>
    <mergeCell ref="A125:B125"/>
    <mergeCell ref="A57:B57"/>
    <mergeCell ref="A96:B96"/>
    <mergeCell ref="A97:B97"/>
    <mergeCell ref="A100:B100"/>
    <mergeCell ref="A106:B106"/>
  </mergeCells>
  <pageMargins left="0.39370078740157483" right="0.39370078740157483" top="0.78740157480314965" bottom="0.3937007874015748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233"/>
  <sheetViews>
    <sheetView view="pageBreakPreview" topLeftCell="A184" zoomScale="70" zoomScaleNormal="70" zoomScaleSheetLayoutView="70" workbookViewId="0">
      <selection activeCell="D206" sqref="D206"/>
    </sheetView>
  </sheetViews>
  <sheetFormatPr defaultRowHeight="18.75"/>
  <cols>
    <col min="1" max="1" width="9.140625" style="33"/>
    <col min="2" max="2" width="106.140625" style="33" customWidth="1"/>
    <col min="3" max="3" width="14.140625" style="42" customWidth="1"/>
    <col min="4" max="4" width="16.140625" style="283" customWidth="1"/>
    <col min="5" max="5" width="16.7109375" style="283" customWidth="1"/>
    <col min="6" max="6" width="16.140625" style="283" customWidth="1"/>
    <col min="7" max="7" width="16.140625" style="33" customWidth="1"/>
    <col min="8" max="8" width="16.42578125" style="33" customWidth="1"/>
    <col min="9" max="9" width="9.140625" style="33"/>
    <col min="10" max="10" width="11.140625" style="33" bestFit="1" customWidth="1"/>
    <col min="11" max="11" width="14.5703125" style="33" bestFit="1" customWidth="1"/>
    <col min="12" max="12" width="15.7109375" style="33" customWidth="1"/>
    <col min="13" max="13" width="18.42578125" style="33" customWidth="1"/>
    <col min="14" max="14" width="18.7109375" style="33" customWidth="1"/>
    <col min="15" max="15" width="9.140625" style="33"/>
    <col min="16" max="16" width="14.5703125" style="33" bestFit="1" customWidth="1"/>
    <col min="17" max="16384" width="9.140625" style="33"/>
  </cols>
  <sheetData>
    <row r="1" spans="1:15" ht="22.5" customHeight="1">
      <c r="B1" s="371" t="s">
        <v>167</v>
      </c>
      <c r="C1" s="371"/>
      <c r="D1" s="371"/>
      <c r="E1" s="371"/>
      <c r="F1" s="371"/>
      <c r="G1" s="371"/>
      <c r="H1" s="371"/>
    </row>
    <row r="2" spans="1:15">
      <c r="B2" s="34"/>
      <c r="C2" s="35"/>
      <c r="D2" s="278"/>
      <c r="E2" s="278"/>
      <c r="F2" s="278"/>
      <c r="H2" s="33" t="s">
        <v>102</v>
      </c>
    </row>
    <row r="3" spans="1:15" ht="71.25" customHeight="1">
      <c r="A3" s="36" t="s">
        <v>115</v>
      </c>
      <c r="B3" s="37" t="s">
        <v>31</v>
      </c>
      <c r="C3" s="38" t="s">
        <v>5</v>
      </c>
      <c r="D3" s="47" t="s">
        <v>460</v>
      </c>
      <c r="E3" s="47" t="s">
        <v>491</v>
      </c>
      <c r="F3" s="47" t="s">
        <v>462</v>
      </c>
      <c r="G3" s="2" t="s">
        <v>157</v>
      </c>
      <c r="H3" s="2" t="s">
        <v>160</v>
      </c>
    </row>
    <row r="4" spans="1:15" ht="30.75" customHeight="1">
      <c r="A4" s="39">
        <v>1</v>
      </c>
      <c r="B4" s="40">
        <v>2</v>
      </c>
      <c r="C4" s="2">
        <v>3</v>
      </c>
      <c r="D4" s="279">
        <v>4</v>
      </c>
      <c r="E4" s="279">
        <v>5</v>
      </c>
      <c r="F4" s="279">
        <v>6</v>
      </c>
      <c r="G4" s="39">
        <v>7</v>
      </c>
      <c r="H4" s="39">
        <v>8</v>
      </c>
    </row>
    <row r="5" spans="1:15" ht="30.75" customHeight="1">
      <c r="A5" s="377" t="s">
        <v>121</v>
      </c>
      <c r="B5" s="377"/>
      <c r="C5" s="81"/>
      <c r="D5" s="284">
        <f>SUM(D6,D106,D142,D147,D151,D165,D176,D190,D198,D194)</f>
        <v>31216.5</v>
      </c>
      <c r="E5" s="284">
        <f>SUM(E6,E106,E142,E147,E151,E165,E176,E190,E198,E194)</f>
        <v>39204.199999999997</v>
      </c>
      <c r="F5" s="284">
        <f>SUM(F6,F106,F142,F147,F151,F165,F176,F190,F198,F194)</f>
        <v>47240.4</v>
      </c>
      <c r="G5" s="249">
        <f>F5-E5</f>
        <v>8036.2000000000044</v>
      </c>
      <c r="H5" s="87">
        <f t="shared" ref="H5:H68" si="0">(F5/E5)*100</f>
        <v>120.49831395615777</v>
      </c>
      <c r="I5" s="84"/>
    </row>
    <row r="6" spans="1:15" ht="29.25" customHeight="1">
      <c r="A6" s="331" t="s">
        <v>122</v>
      </c>
      <c r="B6" s="332" t="s">
        <v>448</v>
      </c>
      <c r="C6" s="300"/>
      <c r="D6" s="85">
        <f>SUM(D8,D69,D82)</f>
        <v>27161.4</v>
      </c>
      <c r="E6" s="85">
        <f t="shared" ref="E6:F6" si="1">SUM(E8,E69,E82)</f>
        <v>31815.599999999999</v>
      </c>
      <c r="F6" s="85">
        <f t="shared" si="1"/>
        <v>33639.1</v>
      </c>
      <c r="G6" s="249">
        <f t="shared" ref="G6:G8" si="2">F6-E6</f>
        <v>1823.5</v>
      </c>
      <c r="H6" s="87">
        <f t="shared" si="0"/>
        <v>105.7314650674512</v>
      </c>
      <c r="I6" s="84"/>
    </row>
    <row r="7" spans="1:15" ht="24.75" customHeight="1">
      <c r="A7" s="88"/>
      <c r="B7" s="89" t="s">
        <v>123</v>
      </c>
      <c r="C7" s="81"/>
      <c r="D7" s="56"/>
      <c r="E7" s="56"/>
      <c r="F7" s="56"/>
      <c r="G7" s="82"/>
      <c r="H7" s="62"/>
      <c r="I7" s="84"/>
      <c r="L7" s="294"/>
      <c r="M7" s="294"/>
      <c r="N7" s="294"/>
    </row>
    <row r="8" spans="1:15" ht="29.25" customHeight="1">
      <c r="A8" s="90" t="s">
        <v>124</v>
      </c>
      <c r="B8" s="91" t="s">
        <v>127</v>
      </c>
      <c r="C8" s="92">
        <v>1010</v>
      </c>
      <c r="D8" s="94">
        <f>D9+D30+D31+D32+D33</f>
        <v>19724.099999999999</v>
      </c>
      <c r="E8" s="94">
        <f>E9+E30+E31+E32+E33</f>
        <v>23607.200000000001</v>
      </c>
      <c r="F8" s="94">
        <f>F30+F31+F33+F9+F32</f>
        <v>24640.1</v>
      </c>
      <c r="G8" s="93">
        <f t="shared" si="2"/>
        <v>1032.8999999999978</v>
      </c>
      <c r="H8" s="95">
        <f t="shared" si="0"/>
        <v>104.3753600596428</v>
      </c>
      <c r="I8" s="84"/>
      <c r="L8" s="296">
        <f>L9+L16+L23</f>
        <v>31216.5</v>
      </c>
      <c r="M8" s="41">
        <f>M9+M16+M23</f>
        <v>39204.199999999997</v>
      </c>
      <c r="N8" s="41">
        <f>N9+N16+N23</f>
        <v>47240.4</v>
      </c>
    </row>
    <row r="9" spans="1:15" ht="25.5" customHeight="1">
      <c r="A9" s="96" t="s">
        <v>264</v>
      </c>
      <c r="B9" s="97" t="s">
        <v>443</v>
      </c>
      <c r="C9" s="98">
        <v>1011</v>
      </c>
      <c r="D9" s="53">
        <f>SUM(D10:D28)</f>
        <v>1394</v>
      </c>
      <c r="E9" s="53">
        <f>SUM(E10:E29)</f>
        <v>3168.5</v>
      </c>
      <c r="F9" s="53">
        <f t="shared" ref="F9" si="3">SUM(F10:F28)</f>
        <v>2162.4</v>
      </c>
      <c r="G9" s="78">
        <f>F9-E9</f>
        <v>-1006.0999999999999</v>
      </c>
      <c r="H9" s="83">
        <f>(F9/E9)*100</f>
        <v>68.246804481615911</v>
      </c>
      <c r="I9" s="84"/>
      <c r="K9" s="41">
        <v>1010</v>
      </c>
      <c r="L9" s="295">
        <f>SUM(D8,D108,D153,D167,D177,D191,D200)</f>
        <v>19724.099999999999</v>
      </c>
      <c r="M9" s="295">
        <f>SUM(E8,E108,E153,E167,E177,E191,E200)</f>
        <v>27247.4</v>
      </c>
      <c r="N9" s="295">
        <f>SUM(F8,F108,F153,F167,F177,F191,F200)</f>
        <v>31137.3</v>
      </c>
    </row>
    <row r="10" spans="1:15" ht="21" customHeight="1">
      <c r="A10" s="99"/>
      <c r="B10" s="100" t="s">
        <v>444</v>
      </c>
      <c r="C10" s="100"/>
      <c r="D10" s="56">
        <v>109.2</v>
      </c>
      <c r="E10" s="56"/>
      <c r="F10" s="56"/>
      <c r="G10" s="78">
        <f t="shared" ref="G10:G80" si="4">F10-E10</f>
        <v>0</v>
      </c>
      <c r="H10" s="101"/>
      <c r="I10" s="84"/>
      <c r="K10" s="41">
        <v>1011</v>
      </c>
      <c r="L10" s="294">
        <f>SUM(D9,D109,D154,D168,D178,)</f>
        <v>1394</v>
      </c>
      <c r="M10" s="294">
        <f t="shared" ref="M10:N10" si="5">SUM(E9,E109,E154,E168,E178,)</f>
        <v>5831.3</v>
      </c>
      <c r="N10" s="294">
        <f t="shared" si="5"/>
        <v>8244.7999999999993</v>
      </c>
    </row>
    <row r="11" spans="1:15" ht="20.25" customHeight="1">
      <c r="A11" s="99"/>
      <c r="B11" s="100" t="s">
        <v>286</v>
      </c>
      <c r="C11" s="100"/>
      <c r="D11" s="56"/>
      <c r="E11" s="56">
        <v>100</v>
      </c>
      <c r="F11" s="56">
        <v>73</v>
      </c>
      <c r="G11" s="62">
        <f t="shared" si="4"/>
        <v>-27</v>
      </c>
      <c r="H11" s="101">
        <f t="shared" ref="H11:H29" si="6">(F11/E11)*100</f>
        <v>73</v>
      </c>
      <c r="I11" s="84"/>
      <c r="K11" s="41">
        <v>1012</v>
      </c>
      <c r="L11" s="294">
        <f t="shared" ref="L11:N12" si="7">SUM(D30,D192,)</f>
        <v>14734.1</v>
      </c>
      <c r="M11" s="294">
        <f t="shared" si="7"/>
        <v>15953.2</v>
      </c>
      <c r="N11" s="294">
        <f t="shared" si="7"/>
        <v>17576.8</v>
      </c>
    </row>
    <row r="12" spans="1:15" ht="24.75" customHeight="1">
      <c r="A12" s="99"/>
      <c r="B12" s="100" t="s">
        <v>193</v>
      </c>
      <c r="C12" s="100"/>
      <c r="D12" s="56">
        <v>198.2</v>
      </c>
      <c r="E12" s="56">
        <v>270</v>
      </c>
      <c r="F12" s="56">
        <v>151</v>
      </c>
      <c r="G12" s="62">
        <f t="shared" si="4"/>
        <v>-119</v>
      </c>
      <c r="H12" s="101">
        <f t="shared" si="6"/>
        <v>55.925925925925924</v>
      </c>
      <c r="I12" s="84"/>
      <c r="K12" s="41">
        <v>1013</v>
      </c>
      <c r="L12" s="294">
        <f t="shared" si="7"/>
        <v>3170.5</v>
      </c>
      <c r="M12" s="294">
        <f t="shared" si="7"/>
        <v>3455.5</v>
      </c>
      <c r="N12" s="294">
        <f t="shared" si="7"/>
        <v>3773.6000000000004</v>
      </c>
    </row>
    <row r="13" spans="1:15" ht="18.75" customHeight="1">
      <c r="A13" s="99"/>
      <c r="B13" s="100" t="s">
        <v>194</v>
      </c>
      <c r="C13" s="100"/>
      <c r="D13" s="56">
        <v>223.8</v>
      </c>
      <c r="E13" s="56"/>
      <c r="F13" s="56"/>
      <c r="G13" s="62">
        <f t="shared" si="4"/>
        <v>0</v>
      </c>
      <c r="H13" s="101"/>
      <c r="I13" s="84"/>
      <c r="K13" s="41">
        <v>1014</v>
      </c>
      <c r="L13" s="294">
        <f>SUM(D32,D201)</f>
        <v>77.400000000000006</v>
      </c>
      <c r="M13" s="294">
        <f t="shared" ref="M13:N13" si="8">SUM(E32,E201)</f>
        <v>1419</v>
      </c>
      <c r="N13" s="294">
        <f t="shared" si="8"/>
        <v>711.4</v>
      </c>
    </row>
    <row r="14" spans="1:15" ht="23.25" customHeight="1">
      <c r="A14" s="99"/>
      <c r="B14" s="100" t="s">
        <v>412</v>
      </c>
      <c r="C14" s="100"/>
      <c r="D14" s="56"/>
      <c r="E14" s="56">
        <v>500</v>
      </c>
      <c r="F14" s="56">
        <v>216.4</v>
      </c>
      <c r="G14" s="62">
        <f t="shared" si="4"/>
        <v>-283.60000000000002</v>
      </c>
      <c r="H14" s="101">
        <f t="shared" si="6"/>
        <v>43.28</v>
      </c>
      <c r="I14" s="84"/>
      <c r="K14" s="41">
        <v>1015</v>
      </c>
      <c r="L14" s="294">
        <f>SUM(D33,D118,)</f>
        <v>348.09999999999997</v>
      </c>
      <c r="M14" s="294">
        <f t="shared" ref="M14:N14" si="9">SUM(E33,E118,)</f>
        <v>588.4</v>
      </c>
      <c r="N14" s="294">
        <f t="shared" si="9"/>
        <v>830.7</v>
      </c>
    </row>
    <row r="15" spans="1:15" ht="23.25" customHeight="1">
      <c r="A15" s="99"/>
      <c r="B15" s="100" t="s">
        <v>195</v>
      </c>
      <c r="C15" s="100"/>
      <c r="D15" s="56">
        <v>285.8</v>
      </c>
      <c r="E15" s="56"/>
      <c r="F15" s="56"/>
      <c r="G15" s="62">
        <f t="shared" si="4"/>
        <v>0</v>
      </c>
      <c r="H15" s="101"/>
      <c r="I15" s="84"/>
      <c r="K15" s="41"/>
    </row>
    <row r="16" spans="1:15" ht="23.25" customHeight="1">
      <c r="A16" s="99"/>
      <c r="B16" s="100" t="s">
        <v>413</v>
      </c>
      <c r="C16" s="100"/>
      <c r="D16" s="56"/>
      <c r="E16" s="56">
        <v>900</v>
      </c>
      <c r="F16" s="56">
        <v>459</v>
      </c>
      <c r="G16" s="62">
        <f t="shared" si="4"/>
        <v>-441</v>
      </c>
      <c r="H16" s="101">
        <f t="shared" si="6"/>
        <v>51</v>
      </c>
      <c r="I16" s="84"/>
      <c r="K16" s="41">
        <v>1020</v>
      </c>
      <c r="L16" s="295">
        <f>SUM(D69,D181,D202)</f>
        <v>2706.8999999999996</v>
      </c>
      <c r="M16" s="295">
        <f>SUM(E69,E181,E202)</f>
        <v>1907.8</v>
      </c>
      <c r="N16" s="295">
        <f>SUM(F69,F181,F202)</f>
        <v>2261.7999999999997</v>
      </c>
      <c r="O16" s="295"/>
    </row>
    <row r="17" spans="1:14" ht="25.5" customHeight="1">
      <c r="A17" s="99"/>
      <c r="B17" s="100" t="s">
        <v>196</v>
      </c>
      <c r="C17" s="100"/>
      <c r="D17" s="56">
        <v>219.4</v>
      </c>
      <c r="E17" s="56">
        <v>700</v>
      </c>
      <c r="F17" s="56">
        <v>806.5</v>
      </c>
      <c r="G17" s="62">
        <f t="shared" si="4"/>
        <v>106.5</v>
      </c>
      <c r="H17" s="101">
        <f t="shared" si="6"/>
        <v>115.21428571428571</v>
      </c>
      <c r="I17" s="84"/>
      <c r="K17" s="41">
        <v>1021</v>
      </c>
      <c r="L17" s="294">
        <f>SUM(D70,)</f>
        <v>41</v>
      </c>
      <c r="M17" s="294">
        <f t="shared" ref="M17:N17" si="10">SUM(E70,)</f>
        <v>32</v>
      </c>
      <c r="N17" s="294">
        <f t="shared" si="10"/>
        <v>48.1</v>
      </c>
    </row>
    <row r="18" spans="1:14" ht="20.25" customHeight="1">
      <c r="A18" s="99"/>
      <c r="B18" s="100" t="s">
        <v>214</v>
      </c>
      <c r="C18" s="100"/>
      <c r="D18" s="56">
        <v>136.1</v>
      </c>
      <c r="E18" s="56"/>
      <c r="F18" s="56"/>
      <c r="G18" s="62">
        <f t="shared" si="4"/>
        <v>0</v>
      </c>
      <c r="H18" s="101"/>
      <c r="I18" s="104"/>
      <c r="K18" s="41">
        <v>1022</v>
      </c>
      <c r="L18" s="294">
        <f>SUM(D73,)</f>
        <v>1353.6</v>
      </c>
      <c r="M18" s="294">
        <f t="shared" ref="M18:N18" si="11">SUM(E73,)</f>
        <v>1479</v>
      </c>
      <c r="N18" s="294">
        <f t="shared" si="11"/>
        <v>1774</v>
      </c>
    </row>
    <row r="19" spans="1:14" ht="20.25" customHeight="1">
      <c r="A19" s="99"/>
      <c r="B19" s="100" t="s">
        <v>215</v>
      </c>
      <c r="C19" s="100"/>
      <c r="D19" s="56">
        <v>28.6</v>
      </c>
      <c r="E19" s="56"/>
      <c r="F19" s="56"/>
      <c r="G19" s="62">
        <f t="shared" si="4"/>
        <v>0</v>
      </c>
      <c r="H19" s="101"/>
      <c r="I19" s="104"/>
      <c r="K19" s="41">
        <v>1023</v>
      </c>
      <c r="L19" s="294">
        <f>SUM(D74,)</f>
        <v>291.60000000000002</v>
      </c>
      <c r="M19" s="294">
        <f t="shared" ref="M19:N19" si="12">SUM(E74,)</f>
        <v>321</v>
      </c>
      <c r="N19" s="294">
        <f t="shared" si="12"/>
        <v>380.7</v>
      </c>
    </row>
    <row r="20" spans="1:14" ht="27" customHeight="1">
      <c r="A20" s="99"/>
      <c r="B20" s="103" t="s">
        <v>199</v>
      </c>
      <c r="C20" s="100"/>
      <c r="D20" s="56">
        <v>15.9</v>
      </c>
      <c r="E20" s="56">
        <v>55</v>
      </c>
      <c r="F20" s="56">
        <v>36.5</v>
      </c>
      <c r="G20" s="62">
        <f t="shared" si="4"/>
        <v>-18.5</v>
      </c>
      <c r="H20" s="101">
        <f t="shared" si="6"/>
        <v>66.363636363636374</v>
      </c>
      <c r="I20" s="104"/>
      <c r="K20" s="41">
        <v>1024</v>
      </c>
      <c r="L20" s="294">
        <f>SUM(D75,D182,D203)</f>
        <v>1020.7</v>
      </c>
      <c r="M20" s="294">
        <f>SUM(E75,E182,E203)</f>
        <v>0</v>
      </c>
      <c r="N20" s="294">
        <f>SUM(F75,F182,F203)</f>
        <v>0</v>
      </c>
    </row>
    <row r="21" spans="1:14" ht="23.25" customHeight="1">
      <c r="A21" s="99"/>
      <c r="B21" s="103" t="s">
        <v>200</v>
      </c>
      <c r="C21" s="100"/>
      <c r="D21" s="56">
        <v>21</v>
      </c>
      <c r="E21" s="56">
        <v>25</v>
      </c>
      <c r="F21" s="56">
        <v>17.3</v>
      </c>
      <c r="G21" s="62">
        <f t="shared" si="4"/>
        <v>-7.6999999999999993</v>
      </c>
      <c r="H21" s="101">
        <f t="shared" si="6"/>
        <v>69.2</v>
      </c>
      <c r="I21" s="104"/>
      <c r="K21" s="41">
        <v>1025</v>
      </c>
      <c r="L21" s="294">
        <f>SUM(D76,)</f>
        <v>0</v>
      </c>
      <c r="M21" s="294">
        <f t="shared" ref="M21:N21" si="13">SUM(E76,)</f>
        <v>75.8</v>
      </c>
      <c r="N21" s="294">
        <f t="shared" si="13"/>
        <v>59</v>
      </c>
    </row>
    <row r="22" spans="1:14" ht="21.75" customHeight="1">
      <c r="A22" s="99"/>
      <c r="B22" s="103" t="s">
        <v>201</v>
      </c>
      <c r="C22" s="100"/>
      <c r="D22" s="56">
        <v>0.8</v>
      </c>
      <c r="E22" s="56">
        <v>7</v>
      </c>
      <c r="F22" s="56">
        <v>0.9</v>
      </c>
      <c r="G22" s="62">
        <f t="shared" si="4"/>
        <v>-6.1</v>
      </c>
      <c r="H22" s="101">
        <f t="shared" si="6"/>
        <v>12.857142857142859</v>
      </c>
      <c r="I22" s="104"/>
      <c r="K22" s="41"/>
      <c r="L22" s="294"/>
      <c r="M22" s="294"/>
      <c r="N22" s="294"/>
    </row>
    <row r="23" spans="1:14" ht="24.75" customHeight="1">
      <c r="A23" s="99"/>
      <c r="B23" s="103" t="s">
        <v>202</v>
      </c>
      <c r="C23" s="100"/>
      <c r="D23" s="56">
        <v>20</v>
      </c>
      <c r="E23" s="56">
        <v>53</v>
      </c>
      <c r="F23" s="56">
        <v>29.4</v>
      </c>
      <c r="G23" s="62">
        <f t="shared" si="4"/>
        <v>-23.6</v>
      </c>
      <c r="H23" s="101">
        <f t="shared" si="6"/>
        <v>55.471698113207545</v>
      </c>
      <c r="I23" s="104"/>
      <c r="K23" s="41">
        <v>1030</v>
      </c>
      <c r="L23" s="295">
        <f>SUM(D82,D122,D144,D148,D172,D183,D195,D205,D159)</f>
        <v>8785.5</v>
      </c>
      <c r="M23" s="295">
        <f>SUM(E82,E122,E144,E148,E172,E183,E195,E205,E159)</f>
        <v>10049</v>
      </c>
      <c r="N23" s="295">
        <f>SUM(F82,F122,F144,F148,F172,F183,F195,F205,F159)</f>
        <v>13841.300000000001</v>
      </c>
    </row>
    <row r="24" spans="1:14" ht="24.75" customHeight="1">
      <c r="A24" s="99"/>
      <c r="B24" s="103" t="s">
        <v>203</v>
      </c>
      <c r="C24" s="100"/>
      <c r="D24" s="56">
        <v>61.7</v>
      </c>
      <c r="E24" s="56">
        <v>113</v>
      </c>
      <c r="F24" s="56">
        <v>106.8</v>
      </c>
      <c r="G24" s="62">
        <f t="shared" si="4"/>
        <v>-6.2000000000000028</v>
      </c>
      <c r="H24" s="101">
        <f t="shared" si="6"/>
        <v>94.513274336283189</v>
      </c>
      <c r="I24" s="104"/>
      <c r="K24" s="41">
        <v>1031</v>
      </c>
      <c r="L24" s="294">
        <f>SUM(D83,D123,D145,D149,D160,D173,D184,)</f>
        <v>2644.6</v>
      </c>
      <c r="M24" s="294">
        <f>SUM(E83,E123,E145,E149,E160,E173,E184,)</f>
        <v>2826.7</v>
      </c>
      <c r="N24" s="294">
        <f>SUM(F83,F123,F145,F149,F160,F173,F184,)</f>
        <v>6100.2000000000007</v>
      </c>
    </row>
    <row r="25" spans="1:14" ht="24.75" customHeight="1">
      <c r="A25" s="99"/>
      <c r="B25" s="103" t="s">
        <v>204</v>
      </c>
      <c r="C25" s="100"/>
      <c r="D25" s="56">
        <v>0.8</v>
      </c>
      <c r="E25" s="56">
        <v>1</v>
      </c>
      <c r="F25" s="56">
        <v>1.1000000000000001</v>
      </c>
      <c r="G25" s="62">
        <f t="shared" si="4"/>
        <v>0.10000000000000009</v>
      </c>
      <c r="H25" s="101">
        <f t="shared" si="6"/>
        <v>110.00000000000001</v>
      </c>
      <c r="I25" s="104"/>
      <c r="K25" s="41">
        <v>1032</v>
      </c>
      <c r="L25" s="294">
        <f>SUM(D85,)</f>
        <v>3975.4</v>
      </c>
      <c r="M25" s="294">
        <f t="shared" ref="M25:N25" si="14">SUM(E85,)</f>
        <v>4890</v>
      </c>
      <c r="N25" s="294">
        <f t="shared" si="14"/>
        <v>5497.9</v>
      </c>
    </row>
    <row r="26" spans="1:14" ht="24.75" customHeight="1">
      <c r="A26" s="99"/>
      <c r="B26" s="103" t="s">
        <v>205</v>
      </c>
      <c r="C26" s="100"/>
      <c r="D26" s="56">
        <v>22.9</v>
      </c>
      <c r="E26" s="56">
        <v>70</v>
      </c>
      <c r="F26" s="56">
        <v>11.4</v>
      </c>
      <c r="G26" s="62">
        <f t="shared" si="4"/>
        <v>-58.6</v>
      </c>
      <c r="H26" s="101">
        <f t="shared" si="6"/>
        <v>16.285714285714288</v>
      </c>
      <c r="I26" s="104"/>
      <c r="K26" s="41">
        <v>1033</v>
      </c>
      <c r="L26" s="294">
        <f>SUM(D86)</f>
        <v>855.7</v>
      </c>
      <c r="M26" s="294">
        <f t="shared" ref="M26:N26" si="15">SUM(E86)</f>
        <v>1061.0999999999999</v>
      </c>
      <c r="N26" s="294">
        <f t="shared" si="15"/>
        <v>1181.3</v>
      </c>
    </row>
    <row r="27" spans="1:14" ht="24" customHeight="1">
      <c r="A27" s="99"/>
      <c r="B27" s="105" t="s">
        <v>206</v>
      </c>
      <c r="C27" s="100"/>
      <c r="D27" s="56">
        <v>49.8</v>
      </c>
      <c r="E27" s="56">
        <v>125</v>
      </c>
      <c r="F27" s="56">
        <v>36</v>
      </c>
      <c r="G27" s="62">
        <f t="shared" si="4"/>
        <v>-89</v>
      </c>
      <c r="H27" s="101">
        <f t="shared" si="6"/>
        <v>28.799999999999997</v>
      </c>
      <c r="I27" s="104"/>
      <c r="K27" s="41">
        <v>1034</v>
      </c>
      <c r="L27" s="294">
        <f>SUM(D206)</f>
        <v>0</v>
      </c>
      <c r="M27" s="294">
        <f t="shared" ref="M27:N27" si="16">SUM(E206)</f>
        <v>0</v>
      </c>
      <c r="N27" s="294">
        <f t="shared" si="16"/>
        <v>14.7</v>
      </c>
    </row>
    <row r="28" spans="1:14" ht="21.75" customHeight="1">
      <c r="A28" s="99"/>
      <c r="B28" s="105" t="s">
        <v>207</v>
      </c>
      <c r="C28" s="100"/>
      <c r="D28" s="53"/>
      <c r="E28" s="56">
        <v>163</v>
      </c>
      <c r="F28" s="56">
        <v>217.1</v>
      </c>
      <c r="G28" s="62">
        <f t="shared" si="4"/>
        <v>54.099999999999994</v>
      </c>
      <c r="H28" s="101">
        <f t="shared" si="6"/>
        <v>133.19018404907973</v>
      </c>
      <c r="I28" s="104"/>
      <c r="K28" s="41">
        <v>1035</v>
      </c>
      <c r="L28" s="294">
        <f>SUM(D87,D133,D188,D196)</f>
        <v>1309.8000000000002</v>
      </c>
      <c r="M28" s="294">
        <f>SUM(E87,E133,E188,E196)</f>
        <v>1271.1999999999998</v>
      </c>
      <c r="N28" s="294">
        <f>SUM(F87,F133,F188,F196)</f>
        <v>1047.1999999999998</v>
      </c>
    </row>
    <row r="29" spans="1:14" ht="22.5" customHeight="1">
      <c r="A29" s="99"/>
      <c r="B29" s="105" t="s">
        <v>447</v>
      </c>
      <c r="C29" s="100"/>
      <c r="D29" s="53"/>
      <c r="E29" s="56">
        <v>86.5</v>
      </c>
      <c r="F29" s="56"/>
      <c r="G29" s="62">
        <f t="shared" si="4"/>
        <v>-86.5</v>
      </c>
      <c r="H29" s="101">
        <f t="shared" si="6"/>
        <v>0</v>
      </c>
      <c r="I29" s="104"/>
      <c r="K29" s="41"/>
    </row>
    <row r="30" spans="1:14" ht="24.75" customHeight="1">
      <c r="A30" s="96" t="s">
        <v>265</v>
      </c>
      <c r="B30" s="106" t="s">
        <v>2</v>
      </c>
      <c r="C30" s="98">
        <v>1012</v>
      </c>
      <c r="D30" s="53">
        <v>14734.1</v>
      </c>
      <c r="E30" s="53">
        <v>15859.6</v>
      </c>
      <c r="F30" s="53">
        <v>17506.3</v>
      </c>
      <c r="G30" s="78">
        <f t="shared" si="4"/>
        <v>1646.6999999999989</v>
      </c>
      <c r="H30" s="83">
        <f t="shared" si="0"/>
        <v>110.38298569951321</v>
      </c>
      <c r="I30" s="104"/>
      <c r="K30" s="41">
        <v>9000</v>
      </c>
      <c r="L30" s="260">
        <f>SUM(L10,L17,L24)</f>
        <v>4079.6</v>
      </c>
      <c r="M30" s="260">
        <f t="shared" ref="M30:N30" si="17">SUM(M10,M17,M24)</f>
        <v>8690</v>
      </c>
      <c r="N30" s="260">
        <f t="shared" si="17"/>
        <v>14393.1</v>
      </c>
    </row>
    <row r="31" spans="1:14" ht="24.75" customHeight="1">
      <c r="A31" s="96" t="s">
        <v>266</v>
      </c>
      <c r="B31" s="106" t="s">
        <v>3</v>
      </c>
      <c r="C31" s="98">
        <v>1013</v>
      </c>
      <c r="D31" s="53">
        <v>3170.5</v>
      </c>
      <c r="E31" s="53">
        <v>3441.7</v>
      </c>
      <c r="F31" s="53">
        <v>3763.3</v>
      </c>
      <c r="G31" s="78">
        <f t="shared" si="4"/>
        <v>321.60000000000036</v>
      </c>
      <c r="H31" s="83">
        <f t="shared" si="0"/>
        <v>109.34421942644626</v>
      </c>
      <c r="I31" s="104"/>
      <c r="K31" s="41">
        <v>9010</v>
      </c>
      <c r="L31" s="260">
        <f>SUM(L11,L18,L25)</f>
        <v>20063.100000000002</v>
      </c>
      <c r="M31" s="260">
        <f>SUM(M11,M18,M25)</f>
        <v>22322.2</v>
      </c>
      <c r="N31" s="260">
        <f>SUM(N11,N18,N25)</f>
        <v>24848.699999999997</v>
      </c>
    </row>
    <row r="32" spans="1:14" ht="24.75" customHeight="1">
      <c r="A32" s="96" t="s">
        <v>266</v>
      </c>
      <c r="B32" s="106" t="s">
        <v>267</v>
      </c>
      <c r="C32" s="98">
        <v>1014</v>
      </c>
      <c r="D32" s="53">
        <v>77.400000000000006</v>
      </c>
      <c r="E32" s="53">
        <v>549</v>
      </c>
      <c r="F32" s="53">
        <v>498</v>
      </c>
      <c r="G32" s="78">
        <f t="shared" si="4"/>
        <v>-51</v>
      </c>
      <c r="H32" s="83">
        <f t="shared" si="0"/>
        <v>90.710382513661202</v>
      </c>
      <c r="I32" s="104"/>
      <c r="J32" s="260"/>
      <c r="K32" s="41">
        <v>9020</v>
      </c>
      <c r="L32" s="294">
        <f>SUM(L12,L19,L26)</f>
        <v>4317.8</v>
      </c>
      <c r="M32" s="294">
        <f t="shared" ref="M32:N32" si="18">SUM(M12,M19,M26)</f>
        <v>4837.6000000000004</v>
      </c>
      <c r="N32" s="294">
        <f t="shared" si="18"/>
        <v>5335.6</v>
      </c>
    </row>
    <row r="33" spans="1:14" ht="23.25" customHeight="1">
      <c r="A33" s="96" t="s">
        <v>268</v>
      </c>
      <c r="B33" s="106" t="s">
        <v>451</v>
      </c>
      <c r="C33" s="98">
        <v>1015</v>
      </c>
      <c r="D33" s="53">
        <f>SUM(D34:D63)</f>
        <v>348.09999999999997</v>
      </c>
      <c r="E33" s="53">
        <f>SUM(E34:E56)</f>
        <v>588.4</v>
      </c>
      <c r="F33" s="53">
        <f>F34+F35+F36+F37+F38+F39+F40+F41+F42+F43+F44+F45+F46+F47+F48+F49+F50+F51+F52+F53+F54+F55+F56+F57+F58+F59+F60+F61+F62+F64+F65+F66+F67+F68</f>
        <v>710.1</v>
      </c>
      <c r="G33" s="78">
        <f t="shared" si="4"/>
        <v>121.70000000000005</v>
      </c>
      <c r="H33" s="83">
        <f t="shared" si="0"/>
        <v>120.68320870156357</v>
      </c>
      <c r="I33" s="104"/>
      <c r="K33" s="41">
        <v>9030</v>
      </c>
      <c r="L33" s="294">
        <f>SUM(L13,L20,L27)</f>
        <v>1098.1000000000001</v>
      </c>
      <c r="M33" s="294">
        <f t="shared" ref="M33:N33" si="19">SUM(M13,M20,M27)</f>
        <v>1419</v>
      </c>
      <c r="N33" s="294">
        <f t="shared" si="19"/>
        <v>726.1</v>
      </c>
    </row>
    <row r="34" spans="1:14" ht="24.75" customHeight="1">
      <c r="A34" s="107"/>
      <c r="B34" s="103" t="s">
        <v>216</v>
      </c>
      <c r="C34" s="81"/>
      <c r="D34" s="56">
        <v>31.8</v>
      </c>
      <c r="E34" s="56">
        <v>40</v>
      </c>
      <c r="F34" s="56"/>
      <c r="G34" s="62">
        <f t="shared" si="4"/>
        <v>-40</v>
      </c>
      <c r="H34" s="101">
        <f t="shared" si="0"/>
        <v>0</v>
      </c>
      <c r="I34" s="104"/>
      <c r="K34" s="41">
        <v>9040</v>
      </c>
      <c r="L34" s="260">
        <f>SUM(L14,L21,L28)</f>
        <v>1657.9</v>
      </c>
      <c r="M34" s="260">
        <f t="shared" ref="M34:N34" si="20">SUM(M14,M21,M28)</f>
        <v>1935.3999999999996</v>
      </c>
      <c r="N34" s="260">
        <f t="shared" si="20"/>
        <v>1936.8999999999999</v>
      </c>
    </row>
    <row r="35" spans="1:14" ht="24.75" customHeight="1">
      <c r="A35" s="107"/>
      <c r="B35" s="105" t="s">
        <v>449</v>
      </c>
      <c r="C35" s="81"/>
      <c r="D35" s="56">
        <v>30.6</v>
      </c>
      <c r="E35" s="56">
        <v>30</v>
      </c>
      <c r="F35" s="56">
        <v>24.8</v>
      </c>
      <c r="G35" s="62">
        <f t="shared" si="4"/>
        <v>-5.1999999999999993</v>
      </c>
      <c r="H35" s="101">
        <f t="shared" si="0"/>
        <v>82.666666666666671</v>
      </c>
      <c r="I35" s="104"/>
      <c r="K35" s="41">
        <v>9050</v>
      </c>
      <c r="L35" s="296">
        <f>SUM(L30:L34)</f>
        <v>31216.5</v>
      </c>
      <c r="M35" s="296">
        <f t="shared" ref="M35:N35" si="21">SUM(M30:M34)</f>
        <v>39204.200000000004</v>
      </c>
      <c r="N35" s="296">
        <f t="shared" si="21"/>
        <v>47240.399999999994</v>
      </c>
    </row>
    <row r="36" spans="1:14" ht="24.75" customHeight="1">
      <c r="A36" s="107"/>
      <c r="B36" s="103" t="s">
        <v>218</v>
      </c>
      <c r="C36" s="81"/>
      <c r="D36" s="56">
        <v>21.1</v>
      </c>
      <c r="E36" s="56">
        <v>60</v>
      </c>
      <c r="F36" s="56">
        <v>26.5</v>
      </c>
      <c r="G36" s="62">
        <f t="shared" si="4"/>
        <v>-33.5</v>
      </c>
      <c r="H36" s="101">
        <f t="shared" si="0"/>
        <v>44.166666666666664</v>
      </c>
      <c r="I36" s="104"/>
      <c r="K36" s="41"/>
    </row>
    <row r="37" spans="1:14" ht="24.75" customHeight="1">
      <c r="A37" s="107"/>
      <c r="B37" s="103" t="s">
        <v>219</v>
      </c>
      <c r="C37" s="81"/>
      <c r="D37" s="56">
        <v>22.9</v>
      </c>
      <c r="E37" s="56">
        <v>40</v>
      </c>
      <c r="F37" s="56">
        <v>118.7</v>
      </c>
      <c r="G37" s="62">
        <f t="shared" si="4"/>
        <v>78.7</v>
      </c>
      <c r="H37" s="101">
        <f t="shared" si="0"/>
        <v>296.75</v>
      </c>
      <c r="I37" s="104"/>
    </row>
    <row r="38" spans="1:14" ht="24.75" customHeight="1">
      <c r="A38" s="107"/>
      <c r="B38" s="103" t="s">
        <v>220</v>
      </c>
      <c r="C38" s="81"/>
      <c r="D38" s="56">
        <v>6.6</v>
      </c>
      <c r="E38" s="56">
        <v>6</v>
      </c>
      <c r="F38" s="56">
        <v>7.9</v>
      </c>
      <c r="G38" s="62">
        <f t="shared" si="4"/>
        <v>1.9000000000000004</v>
      </c>
      <c r="H38" s="101">
        <f t="shared" si="0"/>
        <v>131.66666666666666</v>
      </c>
      <c r="I38" s="104"/>
    </row>
    <row r="39" spans="1:14" ht="24.75" customHeight="1">
      <c r="A39" s="107"/>
      <c r="B39" s="103" t="s">
        <v>221</v>
      </c>
      <c r="C39" s="81"/>
      <c r="D39" s="56">
        <v>33.299999999999997</v>
      </c>
      <c r="E39" s="56">
        <v>45</v>
      </c>
      <c r="F39" s="56">
        <v>42.5</v>
      </c>
      <c r="G39" s="62">
        <f t="shared" si="4"/>
        <v>-2.5</v>
      </c>
      <c r="H39" s="101">
        <f t="shared" si="0"/>
        <v>94.444444444444443</v>
      </c>
      <c r="I39" s="104"/>
    </row>
    <row r="40" spans="1:14" ht="24.75" customHeight="1">
      <c r="A40" s="107"/>
      <c r="B40" s="105" t="s">
        <v>222</v>
      </c>
      <c r="C40" s="81"/>
      <c r="D40" s="56">
        <v>50.4</v>
      </c>
      <c r="E40" s="56">
        <v>16.899999999999999</v>
      </c>
      <c r="F40" s="56">
        <v>16.899999999999999</v>
      </c>
      <c r="G40" s="62">
        <f t="shared" si="4"/>
        <v>0</v>
      </c>
      <c r="H40" s="101">
        <f t="shared" si="0"/>
        <v>100</v>
      </c>
      <c r="I40" s="104"/>
    </row>
    <row r="41" spans="1:14" ht="24.75" customHeight="1">
      <c r="A41" s="107"/>
      <c r="B41" s="105" t="s">
        <v>223</v>
      </c>
      <c r="C41" s="81"/>
      <c r="D41" s="56">
        <v>18.7</v>
      </c>
      <c r="E41" s="56">
        <v>27</v>
      </c>
      <c r="F41" s="56">
        <v>24.9</v>
      </c>
      <c r="G41" s="62">
        <f t="shared" si="4"/>
        <v>-2.1000000000000014</v>
      </c>
      <c r="H41" s="101">
        <f t="shared" si="0"/>
        <v>92.222222222222214</v>
      </c>
      <c r="I41" s="104"/>
    </row>
    <row r="42" spans="1:14" ht="24.75" customHeight="1">
      <c r="A42" s="107"/>
      <c r="B42" s="105" t="s">
        <v>224</v>
      </c>
      <c r="C42" s="81"/>
      <c r="D42" s="56">
        <v>8.9</v>
      </c>
      <c r="E42" s="56">
        <v>6.5</v>
      </c>
      <c r="F42" s="56">
        <v>8</v>
      </c>
      <c r="G42" s="62">
        <f t="shared" si="4"/>
        <v>1.5</v>
      </c>
      <c r="H42" s="101">
        <f t="shared" si="0"/>
        <v>123.07692307692308</v>
      </c>
      <c r="I42" s="104"/>
    </row>
    <row r="43" spans="1:14" ht="24.75" customHeight="1">
      <c r="A43" s="107"/>
      <c r="B43" s="105" t="s">
        <v>225</v>
      </c>
      <c r="C43" s="81"/>
      <c r="D43" s="56">
        <v>7.4</v>
      </c>
      <c r="E43" s="56"/>
      <c r="F43" s="56"/>
      <c r="G43" s="62">
        <f t="shared" si="4"/>
        <v>0</v>
      </c>
      <c r="H43" s="101"/>
      <c r="I43" s="104"/>
    </row>
    <row r="44" spans="1:14" ht="24.75" customHeight="1">
      <c r="A44" s="107"/>
      <c r="B44" s="103" t="s">
        <v>226</v>
      </c>
      <c r="C44" s="81"/>
      <c r="D44" s="56">
        <v>12.2</v>
      </c>
      <c r="E44" s="56">
        <v>28.8</v>
      </c>
      <c r="F44" s="56">
        <v>22.5</v>
      </c>
      <c r="G44" s="62">
        <f t="shared" si="4"/>
        <v>-6.3000000000000007</v>
      </c>
      <c r="H44" s="101">
        <f t="shared" si="0"/>
        <v>78.125</v>
      </c>
      <c r="I44" s="104"/>
    </row>
    <row r="45" spans="1:14" ht="24.75" customHeight="1">
      <c r="A45" s="107"/>
      <c r="B45" s="103" t="s">
        <v>227</v>
      </c>
      <c r="C45" s="81"/>
      <c r="D45" s="56">
        <v>21.9</v>
      </c>
      <c r="E45" s="56">
        <v>3</v>
      </c>
      <c r="F45" s="56">
        <v>14.5</v>
      </c>
      <c r="G45" s="62">
        <f t="shared" si="4"/>
        <v>11.5</v>
      </c>
      <c r="H45" s="101">
        <f t="shared" si="0"/>
        <v>483.33333333333331</v>
      </c>
      <c r="I45" s="104"/>
    </row>
    <row r="46" spans="1:14" ht="24.75" customHeight="1">
      <c r="A46" s="107"/>
      <c r="B46" s="103" t="s">
        <v>257</v>
      </c>
      <c r="C46" s="81"/>
      <c r="D46" s="56">
        <v>15.7</v>
      </c>
      <c r="E46" s="56"/>
      <c r="F46" s="56">
        <v>1</v>
      </c>
      <c r="G46" s="62">
        <f t="shared" si="4"/>
        <v>1</v>
      </c>
      <c r="H46" s="101"/>
      <c r="I46" s="104"/>
    </row>
    <row r="47" spans="1:14" ht="24.75" customHeight="1">
      <c r="A47" s="107"/>
      <c r="B47" s="103" t="s">
        <v>258</v>
      </c>
      <c r="C47" s="81"/>
      <c r="D47" s="56">
        <v>6</v>
      </c>
      <c r="E47" s="56"/>
      <c r="F47" s="56"/>
      <c r="G47" s="62">
        <f t="shared" si="4"/>
        <v>0</v>
      </c>
      <c r="H47" s="101"/>
      <c r="I47" s="104"/>
    </row>
    <row r="48" spans="1:14" ht="24.75" customHeight="1">
      <c r="A48" s="107"/>
      <c r="B48" s="103" t="s">
        <v>242</v>
      </c>
      <c r="C48" s="81"/>
      <c r="D48" s="56">
        <v>3.4</v>
      </c>
      <c r="E48" s="56">
        <v>60</v>
      </c>
      <c r="F48" s="56"/>
      <c r="G48" s="62">
        <f t="shared" si="4"/>
        <v>-60</v>
      </c>
      <c r="H48" s="101"/>
      <c r="I48" s="104"/>
    </row>
    <row r="49" spans="1:9" ht="24.75" customHeight="1">
      <c r="A49" s="107"/>
      <c r="B49" s="103" t="s">
        <v>269</v>
      </c>
      <c r="C49" s="81"/>
      <c r="D49" s="56"/>
      <c r="E49" s="56">
        <v>6</v>
      </c>
      <c r="F49" s="56">
        <v>4.7</v>
      </c>
      <c r="G49" s="62">
        <f t="shared" si="4"/>
        <v>-1.2999999999999998</v>
      </c>
      <c r="H49" s="101">
        <f t="shared" si="0"/>
        <v>78.333333333333329</v>
      </c>
      <c r="I49" s="104"/>
    </row>
    <row r="50" spans="1:9" ht="24.75" customHeight="1">
      <c r="A50" s="107"/>
      <c r="B50" s="103" t="s">
        <v>229</v>
      </c>
      <c r="C50" s="81"/>
      <c r="D50" s="56">
        <v>6.1</v>
      </c>
      <c r="E50" s="56">
        <v>9</v>
      </c>
      <c r="F50" s="56">
        <v>8.3000000000000007</v>
      </c>
      <c r="G50" s="62">
        <f t="shared" si="4"/>
        <v>-0.69999999999999929</v>
      </c>
      <c r="H50" s="101">
        <f t="shared" si="0"/>
        <v>92.222222222222229</v>
      </c>
      <c r="I50" s="104"/>
    </row>
    <row r="51" spans="1:9" ht="24.75" customHeight="1">
      <c r="A51" s="107"/>
      <c r="B51" s="103" t="s">
        <v>230</v>
      </c>
      <c r="C51" s="81"/>
      <c r="D51" s="56">
        <v>3.9</v>
      </c>
      <c r="E51" s="56">
        <v>5</v>
      </c>
      <c r="F51" s="56">
        <v>4.8</v>
      </c>
      <c r="G51" s="62">
        <f t="shared" si="4"/>
        <v>-0.20000000000000018</v>
      </c>
      <c r="H51" s="101">
        <f t="shared" si="0"/>
        <v>96</v>
      </c>
      <c r="I51" s="104"/>
    </row>
    <row r="52" spans="1:9" ht="24.75" customHeight="1">
      <c r="A52" s="107"/>
      <c r="B52" s="103" t="s">
        <v>231</v>
      </c>
      <c r="C52" s="81"/>
      <c r="D52" s="56"/>
      <c r="E52" s="56">
        <v>0.8</v>
      </c>
      <c r="F52" s="56"/>
      <c r="G52" s="62">
        <f t="shared" si="4"/>
        <v>-0.8</v>
      </c>
      <c r="H52" s="101">
        <f t="shared" si="0"/>
        <v>0</v>
      </c>
      <c r="I52" s="104"/>
    </row>
    <row r="53" spans="1:9" ht="24.75" customHeight="1">
      <c r="A53" s="107"/>
      <c r="B53" s="103" t="s">
        <v>232</v>
      </c>
      <c r="C53" s="81"/>
      <c r="D53" s="56"/>
      <c r="E53" s="56">
        <v>122</v>
      </c>
      <c r="F53" s="56">
        <v>92</v>
      </c>
      <c r="G53" s="62">
        <f t="shared" si="4"/>
        <v>-30</v>
      </c>
      <c r="H53" s="101">
        <f t="shared" si="0"/>
        <v>75.409836065573771</v>
      </c>
      <c r="I53" s="104"/>
    </row>
    <row r="54" spans="1:9" ht="24.75" customHeight="1">
      <c r="A54" s="107"/>
      <c r="B54" s="103" t="s">
        <v>233</v>
      </c>
      <c r="C54" s="81"/>
      <c r="D54" s="56">
        <v>15.7</v>
      </c>
      <c r="E54" s="56">
        <v>20</v>
      </c>
      <c r="F54" s="56"/>
      <c r="G54" s="62">
        <f t="shared" si="4"/>
        <v>-20</v>
      </c>
      <c r="H54" s="101">
        <f t="shared" si="0"/>
        <v>0</v>
      </c>
      <c r="I54" s="104"/>
    </row>
    <row r="55" spans="1:9" ht="24.75" customHeight="1">
      <c r="A55" s="107"/>
      <c r="B55" s="103" t="s">
        <v>414</v>
      </c>
      <c r="C55" s="81"/>
      <c r="D55" s="56"/>
      <c r="E55" s="56">
        <v>62</v>
      </c>
      <c r="F55" s="56">
        <v>118.4</v>
      </c>
      <c r="G55" s="62">
        <f t="shared" si="4"/>
        <v>56.400000000000006</v>
      </c>
      <c r="H55" s="101">
        <f t="shared" si="0"/>
        <v>190.96774193548387</v>
      </c>
      <c r="I55" s="104"/>
    </row>
    <row r="56" spans="1:9" ht="24.75" customHeight="1">
      <c r="A56" s="107"/>
      <c r="B56" s="103" t="s">
        <v>406</v>
      </c>
      <c r="C56" s="81"/>
      <c r="D56" s="56"/>
      <c r="E56" s="56">
        <v>0.4</v>
      </c>
      <c r="F56" s="56">
        <v>0.5</v>
      </c>
      <c r="G56" s="62">
        <f t="shared" si="4"/>
        <v>9.9999999999999978E-2</v>
      </c>
      <c r="H56" s="101">
        <f t="shared" si="0"/>
        <v>125</v>
      </c>
      <c r="I56" s="104"/>
    </row>
    <row r="57" spans="1:9" ht="24.75" customHeight="1">
      <c r="A57" s="107"/>
      <c r="B57" s="103" t="s">
        <v>429</v>
      </c>
      <c r="C57" s="81"/>
      <c r="D57" s="56"/>
      <c r="E57" s="56"/>
      <c r="F57" s="56">
        <v>110</v>
      </c>
      <c r="G57" s="62">
        <f t="shared" si="4"/>
        <v>110</v>
      </c>
      <c r="H57" s="259" t="e">
        <f t="shared" si="0"/>
        <v>#DIV/0!</v>
      </c>
      <c r="I57" s="104"/>
    </row>
    <row r="58" spans="1:9" ht="24.75" customHeight="1">
      <c r="A58" s="107"/>
      <c r="B58" s="103" t="s">
        <v>430</v>
      </c>
      <c r="C58" s="81"/>
      <c r="D58" s="56"/>
      <c r="E58" s="56"/>
      <c r="F58" s="56">
        <v>0.6</v>
      </c>
      <c r="G58" s="62">
        <f t="shared" si="4"/>
        <v>0.6</v>
      </c>
      <c r="H58" s="259" t="e">
        <f t="shared" si="0"/>
        <v>#DIV/0!</v>
      </c>
      <c r="I58" s="104"/>
    </row>
    <row r="59" spans="1:9" ht="24.75" customHeight="1">
      <c r="A59" s="107"/>
      <c r="B59" s="103" t="s">
        <v>431</v>
      </c>
      <c r="C59" s="81"/>
      <c r="D59" s="56"/>
      <c r="E59" s="56"/>
      <c r="F59" s="56">
        <v>11</v>
      </c>
      <c r="G59" s="62">
        <f t="shared" si="4"/>
        <v>11</v>
      </c>
      <c r="H59" s="259" t="e">
        <f t="shared" si="0"/>
        <v>#DIV/0!</v>
      </c>
      <c r="I59" s="104"/>
    </row>
    <row r="60" spans="1:9" ht="24.75" customHeight="1">
      <c r="A60" s="107"/>
      <c r="B60" s="103" t="s">
        <v>432</v>
      </c>
      <c r="C60" s="81"/>
      <c r="D60" s="56"/>
      <c r="E60" s="56"/>
      <c r="F60" s="56">
        <v>2.8</v>
      </c>
      <c r="G60" s="62">
        <f t="shared" si="4"/>
        <v>2.8</v>
      </c>
      <c r="H60" s="259" t="e">
        <f t="shared" si="0"/>
        <v>#DIV/0!</v>
      </c>
      <c r="I60" s="104"/>
    </row>
    <row r="61" spans="1:9" ht="24.75" customHeight="1">
      <c r="A61" s="107"/>
      <c r="B61" s="103" t="s">
        <v>433</v>
      </c>
      <c r="C61" s="81"/>
      <c r="D61" s="56"/>
      <c r="E61" s="56"/>
      <c r="F61" s="56">
        <v>3.1</v>
      </c>
      <c r="G61" s="62">
        <f t="shared" si="4"/>
        <v>3.1</v>
      </c>
      <c r="H61" s="259" t="e">
        <f t="shared" si="0"/>
        <v>#DIV/0!</v>
      </c>
      <c r="I61" s="104"/>
    </row>
    <row r="62" spans="1:9" ht="24.75" customHeight="1">
      <c r="A62" s="107"/>
      <c r="B62" s="103" t="s">
        <v>434</v>
      </c>
      <c r="C62" s="81"/>
      <c r="D62" s="56">
        <v>8.8000000000000007</v>
      </c>
      <c r="E62" s="56"/>
      <c r="F62" s="56">
        <v>8.8000000000000007</v>
      </c>
      <c r="G62" s="62">
        <f t="shared" si="4"/>
        <v>8.8000000000000007</v>
      </c>
      <c r="H62" s="259" t="e">
        <f t="shared" si="0"/>
        <v>#DIV/0!</v>
      </c>
      <c r="I62" s="104"/>
    </row>
    <row r="63" spans="1:9" ht="24.75" customHeight="1">
      <c r="A63" s="107"/>
      <c r="B63" s="103" t="s">
        <v>468</v>
      </c>
      <c r="C63" s="81"/>
      <c r="D63" s="56">
        <v>22.7</v>
      </c>
      <c r="E63" s="56"/>
      <c r="F63" s="56"/>
      <c r="G63" s="62">
        <f t="shared" si="4"/>
        <v>0</v>
      </c>
      <c r="H63" s="259" t="e">
        <f t="shared" si="0"/>
        <v>#DIV/0!</v>
      </c>
      <c r="I63" s="104"/>
    </row>
    <row r="64" spans="1:9" ht="24.75" customHeight="1">
      <c r="A64" s="107"/>
      <c r="B64" s="103" t="s">
        <v>477</v>
      </c>
      <c r="C64" s="81"/>
      <c r="D64" s="56"/>
      <c r="E64" s="56"/>
      <c r="F64" s="56">
        <v>1.4</v>
      </c>
      <c r="G64" s="62">
        <f t="shared" si="4"/>
        <v>1.4</v>
      </c>
      <c r="H64" s="259" t="e">
        <f t="shared" si="0"/>
        <v>#DIV/0!</v>
      </c>
      <c r="I64" s="104"/>
    </row>
    <row r="65" spans="1:9" ht="24.75" customHeight="1">
      <c r="A65" s="107"/>
      <c r="B65" s="103" t="s">
        <v>478</v>
      </c>
      <c r="C65" s="81"/>
      <c r="D65" s="56"/>
      <c r="E65" s="56"/>
      <c r="F65" s="56">
        <v>9.6</v>
      </c>
      <c r="G65" s="62" t="s">
        <v>483</v>
      </c>
      <c r="H65" s="248" t="e">
        <f t="shared" si="0"/>
        <v>#DIV/0!</v>
      </c>
      <c r="I65" s="104"/>
    </row>
    <row r="66" spans="1:9" ht="24.75" customHeight="1">
      <c r="A66" s="107"/>
      <c r="B66" s="103" t="s">
        <v>479</v>
      </c>
      <c r="C66" s="81"/>
      <c r="D66" s="56"/>
      <c r="E66" s="56"/>
      <c r="F66" s="56">
        <v>21</v>
      </c>
      <c r="G66" s="62">
        <f t="shared" si="4"/>
        <v>21</v>
      </c>
      <c r="H66" s="248" t="e">
        <f t="shared" si="0"/>
        <v>#DIV/0!</v>
      </c>
      <c r="I66" s="104"/>
    </row>
    <row r="67" spans="1:9" ht="24.75" customHeight="1">
      <c r="A67" s="107"/>
      <c r="B67" s="103" t="s">
        <v>480</v>
      </c>
      <c r="C67" s="81"/>
      <c r="D67" s="56"/>
      <c r="E67" s="56"/>
      <c r="F67" s="56">
        <v>1.2</v>
      </c>
      <c r="G67" s="62">
        <f t="shared" si="4"/>
        <v>1.2</v>
      </c>
      <c r="H67" s="248" t="e">
        <f t="shared" si="0"/>
        <v>#DIV/0!</v>
      </c>
      <c r="I67" s="104"/>
    </row>
    <row r="68" spans="1:9" ht="24.75" customHeight="1">
      <c r="A68" s="107"/>
      <c r="B68" s="103" t="s">
        <v>446</v>
      </c>
      <c r="C68" s="81"/>
      <c r="D68" s="56"/>
      <c r="E68" s="56"/>
      <c r="F68" s="56">
        <v>3.7</v>
      </c>
      <c r="G68" s="62">
        <f t="shared" si="4"/>
        <v>3.7</v>
      </c>
      <c r="H68" s="248" t="e">
        <f t="shared" si="0"/>
        <v>#DIV/0!</v>
      </c>
      <c r="I68" s="104"/>
    </row>
    <row r="69" spans="1:9" ht="24.75" customHeight="1">
      <c r="A69" s="90" t="s">
        <v>125</v>
      </c>
      <c r="B69" s="108" t="s">
        <v>129</v>
      </c>
      <c r="C69" s="92">
        <v>1020</v>
      </c>
      <c r="D69" s="94">
        <f>D70+D73+D74+D75+D76</f>
        <v>2113.3999999999996</v>
      </c>
      <c r="E69" s="94">
        <f>E70+E73+E74+E76</f>
        <v>1907.8</v>
      </c>
      <c r="F69" s="94">
        <f>F70+F73+F74+F76+F75</f>
        <v>2261.7999999999997</v>
      </c>
      <c r="G69" s="93">
        <f t="shared" si="4"/>
        <v>353.99999999999977</v>
      </c>
      <c r="H69" s="95">
        <f t="shared" ref="H69:H115" si="22">(F69/E69)*100</f>
        <v>118.55540413041199</v>
      </c>
      <c r="I69" s="104"/>
    </row>
    <row r="70" spans="1:9" ht="24.75" customHeight="1">
      <c r="A70" s="96" t="s">
        <v>270</v>
      </c>
      <c r="B70" s="97" t="s">
        <v>191</v>
      </c>
      <c r="C70" s="98">
        <v>1021</v>
      </c>
      <c r="D70" s="53">
        <f>SUM(D71:D72)</f>
        <v>41</v>
      </c>
      <c r="E70" s="53">
        <f t="shared" ref="E70:F70" si="23">SUM(E71:E72)</f>
        <v>32</v>
      </c>
      <c r="F70" s="53">
        <f t="shared" si="23"/>
        <v>48.1</v>
      </c>
      <c r="G70" s="78">
        <f t="shared" si="4"/>
        <v>16.100000000000001</v>
      </c>
      <c r="H70" s="83">
        <f t="shared" si="22"/>
        <v>150.3125</v>
      </c>
      <c r="I70" s="104"/>
    </row>
    <row r="71" spans="1:9" ht="24" customHeight="1">
      <c r="A71" s="99"/>
      <c r="B71" s="105" t="s">
        <v>234</v>
      </c>
      <c r="C71" s="81"/>
      <c r="D71" s="56">
        <v>24.6</v>
      </c>
      <c r="E71" s="56">
        <v>18</v>
      </c>
      <c r="F71" s="56">
        <v>26</v>
      </c>
      <c r="G71" s="62">
        <f t="shared" si="4"/>
        <v>8</v>
      </c>
      <c r="H71" s="101">
        <f t="shared" si="22"/>
        <v>144.44444444444443</v>
      </c>
      <c r="I71" s="104"/>
    </row>
    <row r="72" spans="1:9" s="41" customFormat="1" ht="24" customHeight="1">
      <c r="A72" s="99"/>
      <c r="B72" s="103" t="s">
        <v>203</v>
      </c>
      <c r="C72" s="81"/>
      <c r="D72" s="56">
        <v>16.399999999999999</v>
      </c>
      <c r="E72" s="56">
        <v>14</v>
      </c>
      <c r="F72" s="56">
        <v>22.1</v>
      </c>
      <c r="G72" s="62">
        <f t="shared" si="4"/>
        <v>8.1000000000000014</v>
      </c>
      <c r="H72" s="101">
        <f t="shared" si="22"/>
        <v>157.85714285714286</v>
      </c>
      <c r="I72" s="104"/>
    </row>
    <row r="73" spans="1:9" s="41" customFormat="1" ht="25.5" customHeight="1">
      <c r="A73" s="96" t="s">
        <v>271</v>
      </c>
      <c r="B73" s="106" t="s">
        <v>2</v>
      </c>
      <c r="C73" s="98">
        <v>1022</v>
      </c>
      <c r="D73" s="53">
        <v>1353.6</v>
      </c>
      <c r="E73" s="53">
        <v>1479</v>
      </c>
      <c r="F73" s="53">
        <v>1774</v>
      </c>
      <c r="G73" s="78">
        <f t="shared" si="4"/>
        <v>295</v>
      </c>
      <c r="H73" s="83">
        <f t="shared" si="22"/>
        <v>119.94590939824205</v>
      </c>
      <c r="I73" s="104"/>
    </row>
    <row r="74" spans="1:9" s="41" customFormat="1" ht="25.5" customHeight="1">
      <c r="A74" s="96" t="s">
        <v>272</v>
      </c>
      <c r="B74" s="106" t="s">
        <v>3</v>
      </c>
      <c r="C74" s="98">
        <v>1023</v>
      </c>
      <c r="D74" s="53">
        <v>291.60000000000002</v>
      </c>
      <c r="E74" s="53">
        <v>321</v>
      </c>
      <c r="F74" s="53">
        <v>380.7</v>
      </c>
      <c r="G74" s="78">
        <f t="shared" si="4"/>
        <v>59.699999999999989</v>
      </c>
      <c r="H74" s="83">
        <f t="shared" si="22"/>
        <v>118.5981308411215</v>
      </c>
      <c r="I74" s="104"/>
    </row>
    <row r="75" spans="1:9" s="41" customFormat="1" ht="24.75" customHeight="1">
      <c r="A75" s="96" t="s">
        <v>273</v>
      </c>
      <c r="B75" s="106" t="s">
        <v>267</v>
      </c>
      <c r="C75" s="98">
        <v>1024</v>
      </c>
      <c r="D75" s="53">
        <v>427.2</v>
      </c>
      <c r="E75" s="53"/>
      <c r="F75" s="53"/>
      <c r="G75" s="78">
        <f t="shared" si="4"/>
        <v>0</v>
      </c>
      <c r="H75" s="101"/>
      <c r="I75" s="104"/>
    </row>
    <row r="76" spans="1:9" s="41" customFormat="1" ht="27" customHeight="1">
      <c r="A76" s="96" t="s">
        <v>274</v>
      </c>
      <c r="B76" s="106" t="s">
        <v>275</v>
      </c>
      <c r="C76" s="98">
        <v>1025</v>
      </c>
      <c r="D76" s="53">
        <f>SUM(D77:D80)</f>
        <v>0</v>
      </c>
      <c r="E76" s="53">
        <f>SUM(E77:E80)</f>
        <v>75.8</v>
      </c>
      <c r="F76" s="53">
        <f>SUM(F77:F81)</f>
        <v>59</v>
      </c>
      <c r="G76" s="78">
        <f t="shared" si="4"/>
        <v>-16.799999999999997</v>
      </c>
      <c r="H76" s="83">
        <f t="shared" si="22"/>
        <v>77.836411609498683</v>
      </c>
      <c r="I76" s="104"/>
    </row>
    <row r="77" spans="1:9">
      <c r="A77" s="107"/>
      <c r="B77" s="103" t="s">
        <v>243</v>
      </c>
      <c r="C77" s="81"/>
      <c r="D77" s="56"/>
      <c r="E77" s="56">
        <v>9</v>
      </c>
      <c r="F77" s="56">
        <v>10</v>
      </c>
      <c r="G77" s="62">
        <f t="shared" si="4"/>
        <v>1</v>
      </c>
      <c r="H77" s="101">
        <f t="shared" si="22"/>
        <v>111.11111111111111</v>
      </c>
      <c r="I77" s="104"/>
    </row>
    <row r="78" spans="1:9" ht="24.75" customHeight="1">
      <c r="A78" s="107"/>
      <c r="B78" s="103" t="s">
        <v>415</v>
      </c>
      <c r="C78" s="81"/>
      <c r="D78" s="56"/>
      <c r="E78" s="56">
        <v>33.799999999999997</v>
      </c>
      <c r="F78" s="56">
        <v>16.8</v>
      </c>
      <c r="G78" s="62">
        <f t="shared" si="4"/>
        <v>-16.999999999999996</v>
      </c>
      <c r="H78" s="101">
        <f t="shared" si="22"/>
        <v>49.704142011834321</v>
      </c>
      <c r="I78" s="104"/>
    </row>
    <row r="79" spans="1:9">
      <c r="A79" s="107"/>
      <c r="B79" s="103" t="s">
        <v>235</v>
      </c>
      <c r="C79" s="81"/>
      <c r="D79" s="56"/>
      <c r="E79" s="56">
        <v>3</v>
      </c>
      <c r="F79" s="56">
        <v>5</v>
      </c>
      <c r="G79" s="62">
        <f t="shared" si="4"/>
        <v>2</v>
      </c>
      <c r="H79" s="101">
        <f t="shared" si="22"/>
        <v>166.66666666666669</v>
      </c>
      <c r="I79" s="104"/>
    </row>
    <row r="80" spans="1:9">
      <c r="A80" s="107"/>
      <c r="B80" s="105" t="s">
        <v>236</v>
      </c>
      <c r="C80" s="81"/>
      <c r="D80" s="56"/>
      <c r="E80" s="56">
        <v>30</v>
      </c>
      <c r="F80" s="56">
        <v>26.5</v>
      </c>
      <c r="G80" s="62">
        <f t="shared" si="4"/>
        <v>-3.5</v>
      </c>
      <c r="H80" s="101">
        <f t="shared" si="22"/>
        <v>88.333333333333329</v>
      </c>
      <c r="I80" s="104"/>
    </row>
    <row r="81" spans="1:9">
      <c r="A81" s="107"/>
      <c r="B81" s="105" t="s">
        <v>435</v>
      </c>
      <c r="C81" s="81"/>
      <c r="D81" s="56"/>
      <c r="E81" s="56"/>
      <c r="F81" s="56">
        <v>0.7</v>
      </c>
      <c r="G81" s="62"/>
      <c r="H81" s="101"/>
      <c r="I81" s="104"/>
    </row>
    <row r="82" spans="1:9" ht="19.5">
      <c r="A82" s="90" t="s">
        <v>128</v>
      </c>
      <c r="B82" s="109" t="s">
        <v>130</v>
      </c>
      <c r="C82" s="92">
        <v>1030</v>
      </c>
      <c r="D82" s="94">
        <f>D85+D86+D87+D83</f>
        <v>5323.9000000000005</v>
      </c>
      <c r="E82" s="94">
        <f>E85+E86+E87</f>
        <v>6300.6</v>
      </c>
      <c r="F82" s="94">
        <f>SUM(F85:F87)</f>
        <v>6737.2</v>
      </c>
      <c r="G82" s="93">
        <f t="shared" ref="G82:G139" si="24">F82-E82</f>
        <v>436.59999999999945</v>
      </c>
      <c r="H82" s="95">
        <f t="shared" si="22"/>
        <v>106.92949877789415</v>
      </c>
      <c r="I82" s="104"/>
    </row>
    <row r="83" spans="1:9" ht="19.5">
      <c r="A83" s="96" t="s">
        <v>450</v>
      </c>
      <c r="B83" s="110" t="s">
        <v>441</v>
      </c>
      <c r="C83" s="98">
        <v>1031</v>
      </c>
      <c r="D83" s="53">
        <f>D84</f>
        <v>0.8</v>
      </c>
      <c r="E83" s="94"/>
      <c r="F83" s="94"/>
      <c r="G83" s="78">
        <f t="shared" si="24"/>
        <v>0</v>
      </c>
      <c r="H83" s="95"/>
      <c r="I83" s="104"/>
    </row>
    <row r="84" spans="1:9" ht="19.5">
      <c r="A84" s="90"/>
      <c r="B84" s="89" t="s">
        <v>206</v>
      </c>
      <c r="C84" s="92"/>
      <c r="D84" s="56">
        <v>0.8</v>
      </c>
      <c r="E84" s="94"/>
      <c r="F84" s="94"/>
      <c r="G84" s="78">
        <f t="shared" si="24"/>
        <v>0</v>
      </c>
      <c r="H84" s="95"/>
      <c r="I84" s="104"/>
    </row>
    <row r="85" spans="1:9">
      <c r="A85" s="96" t="s">
        <v>276</v>
      </c>
      <c r="B85" s="106" t="s">
        <v>2</v>
      </c>
      <c r="C85" s="98">
        <v>1032</v>
      </c>
      <c r="D85" s="53">
        <v>3975.4</v>
      </c>
      <c r="E85" s="53">
        <v>4890</v>
      </c>
      <c r="F85" s="53">
        <v>5497.9</v>
      </c>
      <c r="G85" s="78">
        <f t="shared" si="24"/>
        <v>607.89999999999964</v>
      </c>
      <c r="H85" s="83">
        <f t="shared" si="22"/>
        <v>112.43149284253577</v>
      </c>
      <c r="I85" s="104"/>
    </row>
    <row r="86" spans="1:9">
      <c r="A86" s="96" t="s">
        <v>277</v>
      </c>
      <c r="B86" s="106" t="s">
        <v>3</v>
      </c>
      <c r="C86" s="98">
        <v>1033</v>
      </c>
      <c r="D86" s="53">
        <v>855.7</v>
      </c>
      <c r="E86" s="53">
        <v>1061.0999999999999</v>
      </c>
      <c r="F86" s="53">
        <v>1181.3</v>
      </c>
      <c r="G86" s="78">
        <f t="shared" si="24"/>
        <v>120.20000000000005</v>
      </c>
      <c r="H86" s="83">
        <f t="shared" si="22"/>
        <v>111.32786730751107</v>
      </c>
      <c r="I86" s="104"/>
    </row>
    <row r="87" spans="1:9">
      <c r="A87" s="96" t="s">
        <v>278</v>
      </c>
      <c r="B87" s="110" t="s">
        <v>130</v>
      </c>
      <c r="C87" s="98">
        <v>1035</v>
      </c>
      <c r="D87" s="53">
        <f>SUM(D89:D104)</f>
        <v>492</v>
      </c>
      <c r="E87" s="53">
        <f>SUM(E88:E105)</f>
        <v>349.5</v>
      </c>
      <c r="F87" s="53">
        <f>SUM(F89:F105)</f>
        <v>58</v>
      </c>
      <c r="G87" s="78">
        <f t="shared" si="24"/>
        <v>-291.5</v>
      </c>
      <c r="H87" s="83">
        <f t="shared" si="22"/>
        <v>16.595135908440632</v>
      </c>
      <c r="I87" s="104"/>
    </row>
    <row r="88" spans="1:9">
      <c r="A88" s="107"/>
      <c r="B88" s="103" t="s">
        <v>251</v>
      </c>
      <c r="C88" s="81"/>
      <c r="D88" s="56"/>
      <c r="E88" s="56">
        <v>127.6</v>
      </c>
      <c r="F88" s="56"/>
      <c r="G88" s="62">
        <f t="shared" si="24"/>
        <v>-127.6</v>
      </c>
      <c r="H88" s="101">
        <f t="shared" si="22"/>
        <v>0</v>
      </c>
      <c r="I88" s="104"/>
    </row>
    <row r="89" spans="1:9">
      <c r="A89" s="107"/>
      <c r="B89" s="105" t="s">
        <v>465</v>
      </c>
      <c r="C89" s="81"/>
      <c r="D89" s="56">
        <v>7.3</v>
      </c>
      <c r="E89" s="56">
        <v>16.2</v>
      </c>
      <c r="F89" s="56">
        <v>13.6</v>
      </c>
      <c r="G89" s="62">
        <f t="shared" si="24"/>
        <v>-2.5999999999999996</v>
      </c>
      <c r="H89" s="101">
        <f t="shared" si="22"/>
        <v>83.950617283950621</v>
      </c>
      <c r="I89" s="104"/>
    </row>
    <row r="90" spans="1:9">
      <c r="A90" s="107"/>
      <c r="B90" s="105" t="s">
        <v>252</v>
      </c>
      <c r="C90" s="81"/>
      <c r="D90" s="56">
        <v>7</v>
      </c>
      <c r="E90" s="56">
        <v>6</v>
      </c>
      <c r="F90" s="56">
        <v>10.199999999999999</v>
      </c>
      <c r="G90" s="62">
        <f t="shared" si="24"/>
        <v>4.1999999999999993</v>
      </c>
      <c r="H90" s="101">
        <f t="shared" si="22"/>
        <v>170</v>
      </c>
      <c r="I90" s="104"/>
    </row>
    <row r="91" spans="1:9">
      <c r="A91" s="107"/>
      <c r="B91" s="105" t="s">
        <v>400</v>
      </c>
      <c r="C91" s="81"/>
      <c r="D91" s="56">
        <v>1.8</v>
      </c>
      <c r="E91" s="56"/>
      <c r="F91" s="56"/>
      <c r="G91" s="62">
        <f t="shared" si="24"/>
        <v>0</v>
      </c>
      <c r="H91" s="101"/>
      <c r="I91" s="104"/>
    </row>
    <row r="92" spans="1:9">
      <c r="A92" s="107"/>
      <c r="B92" s="105" t="s">
        <v>481</v>
      </c>
      <c r="C92" s="81"/>
      <c r="D92" s="56"/>
      <c r="E92" s="56"/>
      <c r="F92" s="56">
        <v>2.8</v>
      </c>
      <c r="G92" s="62">
        <f t="shared" si="24"/>
        <v>2.8</v>
      </c>
      <c r="H92" s="101"/>
      <c r="I92" s="104"/>
    </row>
    <row r="93" spans="1:9">
      <c r="A93" s="107"/>
      <c r="B93" s="105" t="s">
        <v>482</v>
      </c>
      <c r="C93" s="81"/>
      <c r="D93" s="56"/>
      <c r="E93" s="56"/>
      <c r="F93" s="56">
        <v>1.7</v>
      </c>
      <c r="G93" s="62">
        <f t="shared" si="24"/>
        <v>1.7</v>
      </c>
      <c r="H93" s="101"/>
      <c r="I93" s="104"/>
    </row>
    <row r="94" spans="1:9">
      <c r="A94" s="107"/>
      <c r="B94" s="105" t="s">
        <v>253</v>
      </c>
      <c r="C94" s="81"/>
      <c r="D94" s="56">
        <v>2.2999999999999998</v>
      </c>
      <c r="E94" s="56">
        <v>2.7</v>
      </c>
      <c r="F94" s="56">
        <v>1.8</v>
      </c>
      <c r="G94" s="62">
        <f t="shared" si="24"/>
        <v>-0.90000000000000013</v>
      </c>
      <c r="H94" s="101">
        <f t="shared" si="22"/>
        <v>66.666666666666657</v>
      </c>
      <c r="I94" s="104"/>
    </row>
    <row r="95" spans="1:9">
      <c r="A95" s="107"/>
      <c r="B95" s="105" t="s">
        <v>254</v>
      </c>
      <c r="C95" s="81"/>
      <c r="D95" s="56">
        <v>423.8</v>
      </c>
      <c r="E95" s="56"/>
      <c r="F95" s="56">
        <v>1.7</v>
      </c>
      <c r="G95" s="62">
        <f t="shared" si="24"/>
        <v>1.7</v>
      </c>
      <c r="H95" s="101"/>
      <c r="I95" s="104"/>
    </row>
    <row r="96" spans="1:9">
      <c r="A96" s="107"/>
      <c r="B96" s="103" t="s">
        <v>279</v>
      </c>
      <c r="C96" s="81"/>
      <c r="D96" s="56">
        <v>49.8</v>
      </c>
      <c r="E96" s="56">
        <v>100</v>
      </c>
      <c r="F96" s="56"/>
      <c r="G96" s="62">
        <f t="shared" si="24"/>
        <v>-100</v>
      </c>
      <c r="H96" s="101">
        <f t="shared" si="22"/>
        <v>0</v>
      </c>
      <c r="I96" s="104"/>
    </row>
    <row r="97" spans="1:11">
      <c r="A97" s="107"/>
      <c r="B97" s="105" t="s">
        <v>449</v>
      </c>
      <c r="C97" s="81"/>
      <c r="D97" s="56"/>
      <c r="E97" s="56">
        <v>8</v>
      </c>
      <c r="F97" s="56"/>
      <c r="G97" s="62">
        <f t="shared" si="24"/>
        <v>-8</v>
      </c>
      <c r="H97" s="101">
        <f t="shared" si="22"/>
        <v>0</v>
      </c>
      <c r="I97" s="104"/>
    </row>
    <row r="98" spans="1:11">
      <c r="A98" s="107"/>
      <c r="B98" s="105" t="s">
        <v>256</v>
      </c>
      <c r="C98" s="81"/>
      <c r="D98" s="56"/>
      <c r="E98" s="56">
        <v>17</v>
      </c>
      <c r="F98" s="56"/>
      <c r="G98" s="62">
        <f t="shared" si="24"/>
        <v>-17</v>
      </c>
      <c r="H98" s="101">
        <f t="shared" si="22"/>
        <v>0</v>
      </c>
      <c r="I98" s="104"/>
    </row>
    <row r="99" spans="1:11">
      <c r="A99" s="107"/>
      <c r="B99" s="105" t="s">
        <v>257</v>
      </c>
      <c r="C99" s="81"/>
      <c r="D99" s="56"/>
      <c r="E99" s="56">
        <v>17</v>
      </c>
      <c r="F99" s="56">
        <v>1</v>
      </c>
      <c r="G99" s="62">
        <f t="shared" si="24"/>
        <v>-16</v>
      </c>
      <c r="H99" s="101">
        <f t="shared" si="22"/>
        <v>5.8823529411764701</v>
      </c>
      <c r="I99" s="104"/>
    </row>
    <row r="100" spans="1:11">
      <c r="A100" s="107"/>
      <c r="B100" s="105" t="s">
        <v>258</v>
      </c>
      <c r="C100" s="81"/>
      <c r="D100" s="56"/>
      <c r="E100" s="56">
        <v>6</v>
      </c>
      <c r="F100" s="56">
        <v>23</v>
      </c>
      <c r="G100" s="62"/>
      <c r="H100" s="101"/>
      <c r="I100" s="104"/>
    </row>
    <row r="101" spans="1:11">
      <c r="A101" s="107"/>
      <c r="B101" s="105" t="s">
        <v>259</v>
      </c>
      <c r="C101" s="81"/>
      <c r="D101" s="56"/>
      <c r="E101" s="56">
        <v>35</v>
      </c>
      <c r="F101" s="56"/>
      <c r="G101" s="62">
        <f t="shared" si="24"/>
        <v>-35</v>
      </c>
      <c r="H101" s="101">
        <f t="shared" si="22"/>
        <v>0</v>
      </c>
      <c r="I101" s="104"/>
    </row>
    <row r="102" spans="1:11">
      <c r="A102" s="107"/>
      <c r="B102" s="105" t="s">
        <v>260</v>
      </c>
      <c r="C102" s="81"/>
      <c r="D102" s="56"/>
      <c r="E102" s="56">
        <v>10</v>
      </c>
      <c r="F102" s="56"/>
      <c r="G102" s="62">
        <f t="shared" si="24"/>
        <v>-10</v>
      </c>
      <c r="H102" s="101">
        <f t="shared" si="22"/>
        <v>0</v>
      </c>
      <c r="I102" s="104"/>
    </row>
    <row r="103" spans="1:11">
      <c r="A103" s="107"/>
      <c r="B103" s="105" t="s">
        <v>446</v>
      </c>
      <c r="C103" s="81"/>
      <c r="D103" s="56"/>
      <c r="E103" s="56">
        <v>2</v>
      </c>
      <c r="F103" s="56"/>
      <c r="G103" s="62">
        <f t="shared" si="24"/>
        <v>-2</v>
      </c>
      <c r="H103" s="101">
        <f t="shared" si="22"/>
        <v>0</v>
      </c>
      <c r="I103" s="104"/>
    </row>
    <row r="104" spans="1:11">
      <c r="A104" s="107"/>
      <c r="B104" s="103" t="s">
        <v>244</v>
      </c>
      <c r="C104" s="81"/>
      <c r="D104" s="56"/>
      <c r="E104" s="56">
        <v>2</v>
      </c>
      <c r="F104" s="56"/>
      <c r="G104" s="62">
        <f t="shared" si="24"/>
        <v>-2</v>
      </c>
      <c r="H104" s="101">
        <f t="shared" si="22"/>
        <v>0</v>
      </c>
      <c r="I104" s="104"/>
    </row>
    <row r="105" spans="1:11">
      <c r="A105" s="107"/>
      <c r="B105" s="103" t="s">
        <v>436</v>
      </c>
      <c r="C105" s="81"/>
      <c r="D105" s="56"/>
      <c r="E105" s="56"/>
      <c r="F105" s="56">
        <v>2.2000000000000002</v>
      </c>
      <c r="G105" s="78"/>
      <c r="H105" s="101"/>
      <c r="I105" s="104"/>
    </row>
    <row r="106" spans="1:11" ht="20.25">
      <c r="A106" s="333" t="s">
        <v>131</v>
      </c>
      <c r="B106" s="334" t="s">
        <v>280</v>
      </c>
      <c r="C106" s="331"/>
      <c r="D106" s="85">
        <f>SUM(D108,D122)</f>
        <v>1997.4</v>
      </c>
      <c r="E106" s="85">
        <f t="shared" ref="E106:F106" si="25">SUM(E108,E122)</f>
        <v>2829.2</v>
      </c>
      <c r="F106" s="85">
        <f t="shared" si="25"/>
        <v>3112.6</v>
      </c>
      <c r="G106" s="85">
        <f>G122</f>
        <v>-17.299999999999955</v>
      </c>
      <c r="H106" s="87">
        <f t="shared" si="22"/>
        <v>110.01696592676376</v>
      </c>
      <c r="I106" s="104"/>
      <c r="K106" s="260"/>
    </row>
    <row r="107" spans="1:11" ht="20.25">
      <c r="A107" s="88"/>
      <c r="B107" s="89" t="s">
        <v>123</v>
      </c>
      <c r="C107" s="81"/>
      <c r="D107" s="56"/>
      <c r="E107" s="56"/>
      <c r="F107" s="56"/>
      <c r="G107" s="78">
        <f t="shared" si="24"/>
        <v>0</v>
      </c>
      <c r="H107" s="102"/>
      <c r="I107" s="104"/>
    </row>
    <row r="108" spans="1:11" ht="19.5">
      <c r="A108" s="90" t="s">
        <v>132</v>
      </c>
      <c r="B108" s="91" t="s">
        <v>127</v>
      </c>
      <c r="C108" s="92">
        <v>1010</v>
      </c>
      <c r="D108" s="285"/>
      <c r="E108" s="94">
        <f>E109</f>
        <v>1060.5</v>
      </c>
      <c r="F108" s="94">
        <f>F109+F118</f>
        <v>1361.2</v>
      </c>
      <c r="G108" s="93">
        <f t="shared" si="24"/>
        <v>300.70000000000005</v>
      </c>
      <c r="H108" s="95">
        <f t="shared" si="22"/>
        <v>128.35454974068836</v>
      </c>
      <c r="I108" s="104"/>
    </row>
    <row r="109" spans="1:11">
      <c r="A109" s="96" t="s">
        <v>281</v>
      </c>
      <c r="B109" s="97" t="s">
        <v>191</v>
      </c>
      <c r="C109" s="98">
        <v>1011</v>
      </c>
      <c r="D109" s="56"/>
      <c r="E109" s="53">
        <f>SUM(E110:E115)</f>
        <v>1060.5</v>
      </c>
      <c r="F109" s="53">
        <f>F110+F111+F112+F113+F114+F115+F116+F117</f>
        <v>1240.6000000000001</v>
      </c>
      <c r="G109" s="78">
        <f t="shared" si="24"/>
        <v>180.10000000000014</v>
      </c>
      <c r="H109" s="83">
        <f t="shared" si="22"/>
        <v>116.982555398397</v>
      </c>
      <c r="I109" s="104"/>
    </row>
    <row r="110" spans="1:11">
      <c r="A110" s="96"/>
      <c r="B110" s="105" t="s">
        <v>241</v>
      </c>
      <c r="C110" s="98"/>
      <c r="D110" s="56"/>
      <c r="E110" s="56">
        <v>426.1</v>
      </c>
      <c r="F110" s="56">
        <v>505.3</v>
      </c>
      <c r="G110" s="62">
        <f t="shared" si="24"/>
        <v>79.199999999999989</v>
      </c>
      <c r="H110" s="101">
        <f t="shared" si="22"/>
        <v>118.58718610654775</v>
      </c>
      <c r="I110" s="104"/>
    </row>
    <row r="111" spans="1:11">
      <c r="A111" s="96"/>
      <c r="B111" s="105" t="s">
        <v>209</v>
      </c>
      <c r="C111" s="98"/>
      <c r="D111" s="56"/>
      <c r="E111" s="56">
        <v>24.8</v>
      </c>
      <c r="F111" s="56">
        <v>23.1</v>
      </c>
      <c r="G111" s="62">
        <f t="shared" si="24"/>
        <v>-1.6999999999999993</v>
      </c>
      <c r="H111" s="101">
        <f t="shared" si="22"/>
        <v>93.145161290322591</v>
      </c>
      <c r="I111" s="104"/>
    </row>
    <row r="112" spans="1:11">
      <c r="A112" s="96"/>
      <c r="B112" s="105" t="s">
        <v>210</v>
      </c>
      <c r="C112" s="98"/>
      <c r="D112" s="56"/>
      <c r="E112" s="56">
        <v>298.39999999999998</v>
      </c>
      <c r="F112" s="56">
        <v>376.6</v>
      </c>
      <c r="G112" s="62">
        <f t="shared" si="24"/>
        <v>78.200000000000045</v>
      </c>
      <c r="H112" s="101">
        <f t="shared" si="22"/>
        <v>126.20643431635389</v>
      </c>
      <c r="I112" s="104"/>
    </row>
    <row r="113" spans="1:9">
      <c r="A113" s="96"/>
      <c r="B113" s="105" t="s">
        <v>211</v>
      </c>
      <c r="C113" s="98"/>
      <c r="D113" s="56"/>
      <c r="E113" s="56">
        <v>23.6</v>
      </c>
      <c r="F113" s="56">
        <v>49.7</v>
      </c>
      <c r="G113" s="62">
        <f t="shared" si="24"/>
        <v>26.1</v>
      </c>
      <c r="H113" s="101">
        <f t="shared" si="22"/>
        <v>210.59322033898303</v>
      </c>
      <c r="I113" s="104"/>
    </row>
    <row r="114" spans="1:9">
      <c r="A114" s="88"/>
      <c r="B114" s="105" t="s">
        <v>212</v>
      </c>
      <c r="C114" s="81"/>
      <c r="D114" s="56"/>
      <c r="E114" s="56">
        <v>14.9</v>
      </c>
      <c r="F114" s="56">
        <v>11.5</v>
      </c>
      <c r="G114" s="62">
        <f t="shared" si="24"/>
        <v>-3.4000000000000004</v>
      </c>
      <c r="H114" s="101">
        <f t="shared" si="22"/>
        <v>77.181208053691279</v>
      </c>
      <c r="I114" s="104"/>
    </row>
    <row r="115" spans="1:9">
      <c r="A115" s="88"/>
      <c r="B115" s="100" t="s">
        <v>196</v>
      </c>
      <c r="C115" s="81"/>
      <c r="D115" s="56"/>
      <c r="E115" s="56">
        <v>272.7</v>
      </c>
      <c r="F115" s="56">
        <v>228.9</v>
      </c>
      <c r="G115" s="62">
        <f t="shared" si="24"/>
        <v>-43.799999999999983</v>
      </c>
      <c r="H115" s="101">
        <f t="shared" si="22"/>
        <v>83.938393839383934</v>
      </c>
      <c r="I115" s="104"/>
    </row>
    <row r="116" spans="1:9">
      <c r="A116" s="88"/>
      <c r="B116" s="105" t="s">
        <v>207</v>
      </c>
      <c r="C116" s="81"/>
      <c r="D116" s="56"/>
      <c r="E116" s="56"/>
      <c r="F116" s="56">
        <v>44.7</v>
      </c>
      <c r="G116" s="62"/>
      <c r="H116" s="101"/>
      <c r="I116" s="104"/>
    </row>
    <row r="117" spans="1:9">
      <c r="A117" s="88"/>
      <c r="B117" s="105" t="s">
        <v>213</v>
      </c>
      <c r="C117" s="81"/>
      <c r="D117" s="56"/>
      <c r="E117" s="56"/>
      <c r="F117" s="56">
        <v>0.8</v>
      </c>
      <c r="G117" s="62"/>
      <c r="H117" s="101"/>
      <c r="I117" s="104"/>
    </row>
    <row r="118" spans="1:9">
      <c r="A118" s="96" t="s">
        <v>268</v>
      </c>
      <c r="B118" s="106" t="s">
        <v>451</v>
      </c>
      <c r="C118" s="98">
        <v>1015</v>
      </c>
      <c r="D118" s="56"/>
      <c r="E118" s="56"/>
      <c r="F118" s="53">
        <f>F119+F120+F121</f>
        <v>120.6</v>
      </c>
      <c r="G118" s="78">
        <f t="shared" si="24"/>
        <v>120.6</v>
      </c>
      <c r="H118" s="83"/>
      <c r="I118" s="104"/>
    </row>
    <row r="119" spans="1:9">
      <c r="A119" s="96"/>
      <c r="B119" s="103" t="s">
        <v>437</v>
      </c>
      <c r="C119" s="98"/>
      <c r="D119" s="56"/>
      <c r="E119" s="56"/>
      <c r="F119" s="56">
        <v>49.5</v>
      </c>
      <c r="G119" s="62">
        <f t="shared" si="24"/>
        <v>49.5</v>
      </c>
      <c r="H119" s="83"/>
      <c r="I119" s="104"/>
    </row>
    <row r="120" spans="1:9">
      <c r="A120" s="96"/>
      <c r="B120" s="105" t="s">
        <v>222</v>
      </c>
      <c r="C120" s="98"/>
      <c r="D120" s="56"/>
      <c r="E120" s="56"/>
      <c r="F120" s="56">
        <v>59.1</v>
      </c>
      <c r="G120" s="62">
        <f t="shared" si="24"/>
        <v>59.1</v>
      </c>
      <c r="H120" s="83"/>
      <c r="I120" s="104"/>
    </row>
    <row r="121" spans="1:9">
      <c r="A121" s="96"/>
      <c r="B121" s="105" t="s">
        <v>254</v>
      </c>
      <c r="C121" s="98"/>
      <c r="D121" s="56"/>
      <c r="E121" s="56"/>
      <c r="F121" s="56">
        <v>12</v>
      </c>
      <c r="G121" s="62">
        <f t="shared" si="24"/>
        <v>12</v>
      </c>
      <c r="H121" s="83"/>
      <c r="I121" s="104" t="s">
        <v>438</v>
      </c>
    </row>
    <row r="122" spans="1:9" ht="19.5">
      <c r="A122" s="90" t="s">
        <v>133</v>
      </c>
      <c r="B122" s="109" t="s">
        <v>130</v>
      </c>
      <c r="C122" s="92">
        <v>1030</v>
      </c>
      <c r="D122" s="94">
        <f>D133+D123</f>
        <v>1997.4</v>
      </c>
      <c r="E122" s="94">
        <f t="shared" ref="E122" si="26">E133+E123</f>
        <v>1768.6999999999998</v>
      </c>
      <c r="F122" s="94">
        <f>F133+F123</f>
        <v>1751.3999999999999</v>
      </c>
      <c r="G122" s="93">
        <f t="shared" si="24"/>
        <v>-17.299999999999955</v>
      </c>
      <c r="H122" s="95">
        <f>(F122/E122)*100</f>
        <v>99.021880477186642</v>
      </c>
      <c r="I122" s="104"/>
    </row>
    <row r="123" spans="1:9">
      <c r="A123" s="96" t="s">
        <v>416</v>
      </c>
      <c r="B123" s="97" t="s">
        <v>191</v>
      </c>
      <c r="C123" s="98">
        <v>1031</v>
      </c>
      <c r="D123" s="53">
        <f>D124+D125+D126+D127+D128+D129+D130+D131+D132</f>
        <v>1193.5999999999999</v>
      </c>
      <c r="E123" s="53">
        <f t="shared" ref="E123" si="27">E124+E125+E126+E127+E128</f>
        <v>847.6</v>
      </c>
      <c r="F123" s="53">
        <f>F124+F125+F126+F127+F128</f>
        <v>763.3</v>
      </c>
      <c r="G123" s="78">
        <f t="shared" si="24"/>
        <v>-84.300000000000068</v>
      </c>
      <c r="H123" s="83">
        <f>(F123/E123)*100</f>
        <v>90.054270882491736</v>
      </c>
      <c r="I123" s="104"/>
    </row>
    <row r="124" spans="1:9">
      <c r="A124" s="99"/>
      <c r="B124" s="105" t="s">
        <v>442</v>
      </c>
      <c r="C124" s="98"/>
      <c r="D124" s="56">
        <v>33.9</v>
      </c>
      <c r="E124" s="53"/>
      <c r="F124" s="56">
        <v>5.6</v>
      </c>
      <c r="G124" s="62">
        <f t="shared" si="24"/>
        <v>5.6</v>
      </c>
      <c r="H124" s="113"/>
      <c r="I124" s="104"/>
    </row>
    <row r="125" spans="1:9" ht="37.5">
      <c r="A125" s="99"/>
      <c r="B125" s="105" t="s">
        <v>245</v>
      </c>
      <c r="C125" s="98"/>
      <c r="D125" s="56">
        <v>265</v>
      </c>
      <c r="E125" s="56">
        <v>581.6</v>
      </c>
      <c r="F125" s="56">
        <v>470.4</v>
      </c>
      <c r="G125" s="62">
        <f t="shared" si="24"/>
        <v>-111.20000000000005</v>
      </c>
      <c r="H125" s="62">
        <f>F125/E125*100</f>
        <v>80.880330123796412</v>
      </c>
      <c r="I125" s="104"/>
    </row>
    <row r="126" spans="1:9">
      <c r="A126" s="99"/>
      <c r="B126" s="105" t="s">
        <v>246</v>
      </c>
      <c r="C126" s="98"/>
      <c r="D126" s="56">
        <v>274.7</v>
      </c>
      <c r="E126" s="56">
        <v>266</v>
      </c>
      <c r="F126" s="56">
        <v>287.3</v>
      </c>
      <c r="G126" s="62">
        <f t="shared" si="24"/>
        <v>21.300000000000011</v>
      </c>
      <c r="H126" s="62">
        <f t="shared" ref="H126" si="28">F126/E126*100</f>
        <v>108.00751879699249</v>
      </c>
      <c r="I126" s="104"/>
    </row>
    <row r="127" spans="1:9">
      <c r="A127" s="99"/>
      <c r="B127" s="105" t="s">
        <v>196</v>
      </c>
      <c r="C127" s="98"/>
      <c r="D127" s="56">
        <v>40.700000000000003</v>
      </c>
      <c r="E127" s="53"/>
      <c r="F127" s="56"/>
      <c r="G127" s="78">
        <f t="shared" si="24"/>
        <v>0</v>
      </c>
      <c r="H127" s="78"/>
      <c r="I127" s="104"/>
    </row>
    <row r="128" spans="1:9">
      <c r="A128" s="99"/>
      <c r="B128" s="100" t="s">
        <v>203</v>
      </c>
      <c r="C128" s="98"/>
      <c r="D128" s="56">
        <v>17</v>
      </c>
      <c r="E128" s="53"/>
      <c r="F128" s="56"/>
      <c r="G128" s="78">
        <f t="shared" si="24"/>
        <v>0</v>
      </c>
      <c r="H128" s="113"/>
      <c r="I128" s="104"/>
    </row>
    <row r="129" spans="1:16">
      <c r="A129" s="99"/>
      <c r="B129" s="68" t="s">
        <v>208</v>
      </c>
      <c r="C129" s="98"/>
      <c r="D129" s="56">
        <v>339.3</v>
      </c>
      <c r="E129" s="53"/>
      <c r="F129" s="56"/>
      <c r="G129" s="78"/>
      <c r="H129" s="113"/>
      <c r="I129" s="104"/>
      <c r="P129" s="260"/>
    </row>
    <row r="130" spans="1:16">
      <c r="A130" s="99"/>
      <c r="B130" s="68" t="s">
        <v>209</v>
      </c>
      <c r="C130" s="98"/>
      <c r="D130" s="56">
        <v>19.899999999999999</v>
      </c>
      <c r="E130" s="53"/>
      <c r="F130" s="56"/>
      <c r="G130" s="78"/>
      <c r="H130" s="113"/>
      <c r="I130" s="104"/>
    </row>
    <row r="131" spans="1:16">
      <c r="A131" s="99"/>
      <c r="B131" s="68" t="s">
        <v>210</v>
      </c>
      <c r="C131" s="98"/>
      <c r="D131" s="56">
        <v>194.5</v>
      </c>
      <c r="E131" s="53"/>
      <c r="F131" s="56"/>
      <c r="G131" s="78"/>
      <c r="H131" s="113"/>
      <c r="I131" s="104"/>
    </row>
    <row r="132" spans="1:16">
      <c r="A132" s="99"/>
      <c r="B132" s="61" t="s">
        <v>211</v>
      </c>
      <c r="C132" s="98"/>
      <c r="D132" s="56">
        <v>8.6</v>
      </c>
      <c r="E132" s="53"/>
      <c r="F132" s="56"/>
      <c r="G132" s="78"/>
      <c r="H132" s="113"/>
      <c r="I132" s="104"/>
    </row>
    <row r="133" spans="1:16">
      <c r="A133" s="96" t="s">
        <v>282</v>
      </c>
      <c r="B133" s="106" t="s">
        <v>130</v>
      </c>
      <c r="C133" s="98">
        <v>1035</v>
      </c>
      <c r="D133" s="53">
        <f>SUM(D134:D141)</f>
        <v>803.80000000000007</v>
      </c>
      <c r="E133" s="53">
        <f>SUM(E134:E141)</f>
        <v>921.09999999999991</v>
      </c>
      <c r="F133" s="53">
        <f>F134+F135+F137+F139+F138+F141+F136</f>
        <v>988.09999999999991</v>
      </c>
      <c r="G133" s="78">
        <f t="shared" si="24"/>
        <v>67</v>
      </c>
      <c r="H133" s="83">
        <f t="shared" ref="H133:H139" si="29">(F133/E133)*100</f>
        <v>107.27391162740203</v>
      </c>
      <c r="I133" s="104"/>
    </row>
    <row r="134" spans="1:16">
      <c r="A134" s="112"/>
      <c r="B134" s="105" t="s">
        <v>255</v>
      </c>
      <c r="C134" s="81"/>
      <c r="D134" s="56">
        <v>63.9</v>
      </c>
      <c r="E134" s="56">
        <v>61.3</v>
      </c>
      <c r="F134" s="56">
        <v>36.5</v>
      </c>
      <c r="G134" s="78">
        <f t="shared" si="24"/>
        <v>-24.799999999999997</v>
      </c>
      <c r="H134" s="101">
        <f t="shared" si="29"/>
        <v>59.543230016313217</v>
      </c>
      <c r="I134" s="104"/>
    </row>
    <row r="135" spans="1:16">
      <c r="A135" s="112"/>
      <c r="B135" s="105" t="s">
        <v>411</v>
      </c>
      <c r="C135" s="81"/>
      <c r="D135" s="56"/>
      <c r="E135" s="56">
        <v>49.7</v>
      </c>
      <c r="F135" s="56"/>
      <c r="G135" s="62">
        <f t="shared" si="24"/>
        <v>-49.7</v>
      </c>
      <c r="H135" s="83">
        <f t="shared" si="29"/>
        <v>0</v>
      </c>
      <c r="I135" s="114"/>
    </row>
    <row r="136" spans="1:16">
      <c r="A136" s="112"/>
      <c r="B136" s="105" t="s">
        <v>222</v>
      </c>
      <c r="C136" s="81"/>
      <c r="D136" s="56"/>
      <c r="E136" s="56">
        <v>16.899999999999999</v>
      </c>
      <c r="F136" s="56"/>
      <c r="G136" s="62">
        <f t="shared" si="24"/>
        <v>-16.899999999999999</v>
      </c>
      <c r="H136" s="83">
        <f t="shared" si="29"/>
        <v>0</v>
      </c>
      <c r="I136" s="104"/>
    </row>
    <row r="137" spans="1:16">
      <c r="A137" s="112"/>
      <c r="B137" s="89" t="s">
        <v>261</v>
      </c>
      <c r="C137" s="81"/>
      <c r="D137" s="56">
        <v>20.5</v>
      </c>
      <c r="E137" s="56"/>
      <c r="F137" s="56"/>
      <c r="G137" s="78">
        <f t="shared" si="24"/>
        <v>0</v>
      </c>
      <c r="H137" s="101"/>
      <c r="I137" s="104"/>
    </row>
    <row r="138" spans="1:16" ht="37.5">
      <c r="A138" s="112"/>
      <c r="B138" s="100" t="s">
        <v>262</v>
      </c>
      <c r="C138" s="81"/>
      <c r="D138" s="56">
        <v>16.399999999999999</v>
      </c>
      <c r="E138" s="56">
        <v>88.3</v>
      </c>
      <c r="F138" s="56">
        <v>252.3</v>
      </c>
      <c r="G138" s="62">
        <f t="shared" si="24"/>
        <v>164</v>
      </c>
      <c r="H138" s="101">
        <f t="shared" si="29"/>
        <v>285.73046432616087</v>
      </c>
      <c r="I138" s="104"/>
    </row>
    <row r="139" spans="1:16">
      <c r="A139" s="112"/>
      <c r="B139" s="105" t="s">
        <v>263</v>
      </c>
      <c r="C139" s="81"/>
      <c r="D139" s="56">
        <v>658.9</v>
      </c>
      <c r="E139" s="56">
        <v>704.9</v>
      </c>
      <c r="F139" s="56">
        <v>699.3</v>
      </c>
      <c r="G139" s="62">
        <f t="shared" si="24"/>
        <v>-5.6000000000000227</v>
      </c>
      <c r="H139" s="101">
        <f t="shared" si="29"/>
        <v>99.205561072492557</v>
      </c>
      <c r="I139" s="104"/>
    </row>
    <row r="140" spans="1:16">
      <c r="A140" s="112"/>
      <c r="B140" s="105" t="s">
        <v>212</v>
      </c>
      <c r="C140" s="81"/>
      <c r="D140" s="56">
        <v>12.9</v>
      </c>
      <c r="E140" s="56"/>
      <c r="F140" s="56"/>
      <c r="G140" s="78"/>
      <c r="H140" s="101"/>
      <c r="I140" s="104"/>
    </row>
    <row r="141" spans="1:16">
      <c r="A141" s="112"/>
      <c r="B141" s="105" t="s">
        <v>254</v>
      </c>
      <c r="C141" s="81"/>
      <c r="D141" s="56">
        <v>31.2</v>
      </c>
      <c r="E141" s="56"/>
      <c r="F141" s="56"/>
      <c r="G141" s="78">
        <f t="shared" ref="G141:G191" si="30">F141-E141</f>
        <v>0</v>
      </c>
      <c r="H141" s="101"/>
      <c r="I141" s="104"/>
    </row>
    <row r="142" spans="1:16" ht="20.25">
      <c r="A142" s="335" t="s">
        <v>146</v>
      </c>
      <c r="B142" s="336" t="s">
        <v>445</v>
      </c>
      <c r="C142" s="337"/>
      <c r="D142" s="87">
        <f>D144</f>
        <v>14</v>
      </c>
      <c r="E142" s="87">
        <f t="shared" ref="E142:F142" si="31">E144</f>
        <v>0</v>
      </c>
      <c r="F142" s="87">
        <f t="shared" si="31"/>
        <v>0</v>
      </c>
      <c r="G142" s="78">
        <f t="shared" si="30"/>
        <v>0</v>
      </c>
      <c r="H142" s="87"/>
      <c r="I142" s="104"/>
    </row>
    <row r="143" spans="1:16">
      <c r="A143" s="99"/>
      <c r="B143" s="115" t="s">
        <v>123</v>
      </c>
      <c r="C143" s="81"/>
      <c r="D143" s="62"/>
      <c r="E143" s="62"/>
      <c r="F143" s="62"/>
      <c r="G143" s="78">
        <f t="shared" si="30"/>
        <v>0</v>
      </c>
      <c r="H143" s="83"/>
      <c r="I143" s="104"/>
    </row>
    <row r="144" spans="1:16" ht="19.5">
      <c r="A144" s="90" t="s">
        <v>147</v>
      </c>
      <c r="B144" s="247" t="s">
        <v>130</v>
      </c>
      <c r="C144" s="92">
        <v>1030</v>
      </c>
      <c r="D144" s="93">
        <f>D145</f>
        <v>14</v>
      </c>
      <c r="E144" s="338">
        <f>E145+E146</f>
        <v>0</v>
      </c>
      <c r="F144" s="338"/>
      <c r="G144" s="93">
        <f t="shared" si="30"/>
        <v>0</v>
      </c>
      <c r="H144" s="95"/>
      <c r="I144" s="104"/>
    </row>
    <row r="145" spans="1:14">
      <c r="A145" s="96" t="s">
        <v>283</v>
      </c>
      <c r="B145" s="106" t="s">
        <v>191</v>
      </c>
      <c r="C145" s="98">
        <v>1031</v>
      </c>
      <c r="D145" s="78">
        <f>D146</f>
        <v>14</v>
      </c>
      <c r="E145" s="78"/>
      <c r="F145" s="78"/>
      <c r="G145" s="78">
        <f t="shared" si="30"/>
        <v>0</v>
      </c>
      <c r="H145" s="83"/>
      <c r="I145" s="104"/>
    </row>
    <row r="146" spans="1:14">
      <c r="A146" s="107"/>
      <c r="B146" s="103" t="s">
        <v>444</v>
      </c>
      <c r="C146" s="81"/>
      <c r="D146" s="62">
        <v>14</v>
      </c>
      <c r="E146" s="62"/>
      <c r="F146" s="62"/>
      <c r="G146" s="78">
        <f t="shared" si="30"/>
        <v>0</v>
      </c>
      <c r="H146" s="83"/>
      <c r="I146" s="104"/>
    </row>
    <row r="147" spans="1:14" ht="51" customHeight="1">
      <c r="A147" s="335" t="s">
        <v>148</v>
      </c>
      <c r="B147" s="339" t="s">
        <v>285</v>
      </c>
      <c r="C147" s="121"/>
      <c r="D147" s="85">
        <f>SUM(D148)</f>
        <v>0</v>
      </c>
      <c r="E147" s="85">
        <f>SUM(E148)</f>
        <v>16</v>
      </c>
      <c r="F147" s="85">
        <f>SUM(F148)</f>
        <v>3.4</v>
      </c>
      <c r="G147" s="85">
        <f t="shared" si="30"/>
        <v>-12.6</v>
      </c>
      <c r="H147" s="87">
        <f>F147/E147*100</f>
        <v>21.25</v>
      </c>
      <c r="I147" s="104"/>
    </row>
    <row r="148" spans="1:14" ht="19.5">
      <c r="A148" s="122" t="s">
        <v>149</v>
      </c>
      <c r="B148" s="109" t="s">
        <v>130</v>
      </c>
      <c r="C148" s="123">
        <v>1030</v>
      </c>
      <c r="D148" s="93"/>
      <c r="E148" s="93">
        <f>E149</f>
        <v>16</v>
      </c>
      <c r="F148" s="93">
        <f>SUM(F150)</f>
        <v>3.4</v>
      </c>
      <c r="G148" s="93">
        <f t="shared" si="30"/>
        <v>-12.6</v>
      </c>
      <c r="H148" s="95">
        <f>F148/E148*100</f>
        <v>21.25</v>
      </c>
      <c r="I148" s="104"/>
    </row>
    <row r="149" spans="1:14">
      <c r="A149" s="118" t="s">
        <v>284</v>
      </c>
      <c r="B149" s="97" t="s">
        <v>191</v>
      </c>
      <c r="C149" s="299">
        <v>1031</v>
      </c>
      <c r="D149" s="62"/>
      <c r="E149" s="78">
        <f>E150</f>
        <v>16</v>
      </c>
      <c r="F149" s="78">
        <f>F150</f>
        <v>3.4</v>
      </c>
      <c r="G149" s="78">
        <f t="shared" si="30"/>
        <v>-12.6</v>
      </c>
      <c r="H149" s="83">
        <f t="shared" ref="H149:H150" si="32">F149/E149*100</f>
        <v>21.25</v>
      </c>
      <c r="I149" s="104"/>
    </row>
    <row r="150" spans="1:14">
      <c r="A150" s="120"/>
      <c r="B150" s="103" t="s">
        <v>286</v>
      </c>
      <c r="C150" s="121"/>
      <c r="D150" s="62"/>
      <c r="E150" s="62">
        <v>16</v>
      </c>
      <c r="F150" s="62">
        <v>3.4</v>
      </c>
      <c r="G150" s="62">
        <f t="shared" si="30"/>
        <v>-12.6</v>
      </c>
      <c r="H150" s="101">
        <f t="shared" si="32"/>
        <v>21.25</v>
      </c>
      <c r="I150" s="104"/>
    </row>
    <row r="151" spans="1:14" ht="20.25">
      <c r="A151" s="335" t="s">
        <v>150</v>
      </c>
      <c r="B151" s="340" t="s">
        <v>287</v>
      </c>
      <c r="C151" s="341"/>
      <c r="D151" s="87">
        <f>SUM(D153,D159)</f>
        <v>66.099999999999994</v>
      </c>
      <c r="E151" s="87">
        <f t="shared" ref="E151:F151" si="33">SUM(E153,E159)</f>
        <v>91.600000000000009</v>
      </c>
      <c r="F151" s="87">
        <f t="shared" si="33"/>
        <v>74.399999999999991</v>
      </c>
      <c r="G151" s="78">
        <f t="shared" si="30"/>
        <v>-17.200000000000017</v>
      </c>
      <c r="H151" s="87">
        <f>(F151/E151)*100</f>
        <v>81.222707423580758</v>
      </c>
      <c r="I151" s="347" t="s">
        <v>501</v>
      </c>
      <c r="N151" s="33" t="s">
        <v>499</v>
      </c>
    </row>
    <row r="152" spans="1:14" ht="20.25">
      <c r="A152" s="120"/>
      <c r="B152" s="115" t="s">
        <v>123</v>
      </c>
      <c r="C152" s="119"/>
      <c r="D152" s="101"/>
      <c r="E152" s="101"/>
      <c r="F152" s="101"/>
      <c r="G152" s="78">
        <f t="shared" si="30"/>
        <v>0</v>
      </c>
      <c r="H152" s="87"/>
      <c r="I152" s="104"/>
    </row>
    <row r="153" spans="1:14" ht="19.5">
      <c r="A153" s="122" t="s">
        <v>155</v>
      </c>
      <c r="B153" s="91" t="s">
        <v>127</v>
      </c>
      <c r="C153" s="92">
        <v>1010</v>
      </c>
      <c r="D153" s="132"/>
      <c r="E153" s="286">
        <f>SUM(E154)</f>
        <v>91.600000000000009</v>
      </c>
      <c r="F153" s="126">
        <f>F154</f>
        <v>74.399999999999991</v>
      </c>
      <c r="G153" s="93">
        <f t="shared" si="30"/>
        <v>-17.200000000000017</v>
      </c>
      <c r="H153" s="95">
        <f t="shared" ref="H153:H158" si="34">(F153/E153)*100</f>
        <v>81.222707423580758</v>
      </c>
      <c r="I153" s="104"/>
    </row>
    <row r="154" spans="1:14">
      <c r="A154" s="118" t="s">
        <v>288</v>
      </c>
      <c r="B154" s="97" t="s">
        <v>191</v>
      </c>
      <c r="C154" s="98">
        <v>1011</v>
      </c>
      <c r="D154" s="124"/>
      <c r="E154" s="287">
        <f>SUM(E155:E158)</f>
        <v>91.600000000000009</v>
      </c>
      <c r="F154" s="127">
        <f>F155+F156+F157+F158</f>
        <v>74.399999999999991</v>
      </c>
      <c r="G154" s="78">
        <f t="shared" si="30"/>
        <v>-17.200000000000017</v>
      </c>
      <c r="H154" s="83">
        <f t="shared" si="34"/>
        <v>81.222707423580758</v>
      </c>
      <c r="I154" s="104"/>
    </row>
    <row r="155" spans="1:14">
      <c r="A155" s="120"/>
      <c r="B155" s="89" t="s">
        <v>208</v>
      </c>
      <c r="C155" s="98"/>
      <c r="D155" s="124"/>
      <c r="E155" s="288">
        <v>67.400000000000006</v>
      </c>
      <c r="F155" s="124">
        <v>57.4</v>
      </c>
      <c r="G155" s="62">
        <f t="shared" si="30"/>
        <v>-10.000000000000007</v>
      </c>
      <c r="H155" s="101">
        <f t="shared" si="34"/>
        <v>85.163204747774472</v>
      </c>
      <c r="I155" s="104"/>
    </row>
    <row r="156" spans="1:14">
      <c r="A156" s="120"/>
      <c r="B156" s="89" t="s">
        <v>209</v>
      </c>
      <c r="C156" s="98"/>
      <c r="D156" s="124"/>
      <c r="E156" s="288">
        <v>5.2</v>
      </c>
      <c r="F156" s="124">
        <v>5.4</v>
      </c>
      <c r="G156" s="62">
        <f t="shared" si="30"/>
        <v>0.20000000000000018</v>
      </c>
      <c r="H156" s="101">
        <f t="shared" si="34"/>
        <v>103.84615384615385</v>
      </c>
      <c r="I156" s="104"/>
    </row>
    <row r="157" spans="1:14">
      <c r="A157" s="120"/>
      <c r="B157" s="89" t="s">
        <v>210</v>
      </c>
      <c r="C157" s="98"/>
      <c r="D157" s="124"/>
      <c r="E157" s="288">
        <v>17.3</v>
      </c>
      <c r="F157" s="124">
        <v>10.8</v>
      </c>
      <c r="G157" s="62">
        <f t="shared" si="30"/>
        <v>-6.5</v>
      </c>
      <c r="H157" s="101">
        <f t="shared" si="34"/>
        <v>62.427745664739888</v>
      </c>
      <c r="I157" s="104"/>
    </row>
    <row r="158" spans="1:14">
      <c r="A158" s="120"/>
      <c r="B158" s="89" t="s">
        <v>289</v>
      </c>
      <c r="C158" s="98"/>
      <c r="D158" s="124"/>
      <c r="E158" s="288">
        <v>1.7</v>
      </c>
      <c r="F158" s="124">
        <v>0.8</v>
      </c>
      <c r="G158" s="62">
        <f t="shared" si="30"/>
        <v>-0.89999999999999991</v>
      </c>
      <c r="H158" s="101">
        <f t="shared" si="34"/>
        <v>47.058823529411768</v>
      </c>
      <c r="I158" s="104"/>
    </row>
    <row r="159" spans="1:14" ht="19.5">
      <c r="A159" s="122" t="s">
        <v>156</v>
      </c>
      <c r="B159" s="108" t="s">
        <v>488</v>
      </c>
      <c r="C159" s="128">
        <v>1030</v>
      </c>
      <c r="D159" s="95">
        <f>D160</f>
        <v>66.099999999999994</v>
      </c>
      <c r="E159" s="126">
        <f>SUM(E160)</f>
        <v>0</v>
      </c>
      <c r="F159" s="126">
        <f>SUM(F160)</f>
        <v>0</v>
      </c>
      <c r="G159" s="78">
        <f t="shared" si="30"/>
        <v>0</v>
      </c>
      <c r="H159" s="125"/>
      <c r="I159" s="104"/>
    </row>
    <row r="160" spans="1:14" ht="19.5">
      <c r="A160" s="118" t="s">
        <v>290</v>
      </c>
      <c r="B160" s="109" t="s">
        <v>489</v>
      </c>
      <c r="C160" s="129">
        <v>1031</v>
      </c>
      <c r="D160" s="83">
        <f>SUM(D161:D164)</f>
        <v>66.099999999999994</v>
      </c>
      <c r="E160" s="127">
        <f>E161+E162+E163+E164</f>
        <v>0</v>
      </c>
      <c r="F160" s="127">
        <f>F161+F162+F163+F164</f>
        <v>0</v>
      </c>
      <c r="G160" s="78">
        <f t="shared" si="30"/>
        <v>0</v>
      </c>
      <c r="H160" s="83"/>
      <c r="I160" s="104"/>
    </row>
    <row r="161" spans="1:9">
      <c r="A161" s="120"/>
      <c r="B161" s="89" t="s">
        <v>208</v>
      </c>
      <c r="C161" s="119"/>
      <c r="D161" s="289">
        <v>51.6</v>
      </c>
      <c r="E161" s="289"/>
      <c r="F161" s="124"/>
      <c r="G161" s="78">
        <f t="shared" si="30"/>
        <v>0</v>
      </c>
      <c r="H161" s="83"/>
      <c r="I161" s="104"/>
    </row>
    <row r="162" spans="1:9">
      <c r="A162" s="120"/>
      <c r="B162" s="89" t="s">
        <v>209</v>
      </c>
      <c r="C162" s="119"/>
      <c r="D162" s="289">
        <v>3.8</v>
      </c>
      <c r="E162" s="289"/>
      <c r="F162" s="124"/>
      <c r="G162" s="78">
        <f t="shared" si="30"/>
        <v>0</v>
      </c>
      <c r="H162" s="83"/>
      <c r="I162" s="104"/>
    </row>
    <row r="163" spans="1:9">
      <c r="A163" s="120"/>
      <c r="B163" s="89" t="s">
        <v>210</v>
      </c>
      <c r="C163" s="119"/>
      <c r="D163" s="289">
        <v>10.4</v>
      </c>
      <c r="E163" s="289"/>
      <c r="F163" s="124"/>
      <c r="G163" s="78">
        <f t="shared" si="30"/>
        <v>0</v>
      </c>
      <c r="H163" s="83"/>
      <c r="I163" s="104"/>
    </row>
    <row r="164" spans="1:9">
      <c r="A164" s="120"/>
      <c r="B164" s="89" t="s">
        <v>289</v>
      </c>
      <c r="C164" s="119"/>
      <c r="D164" s="289">
        <v>0.3</v>
      </c>
      <c r="E164" s="289"/>
      <c r="F164" s="124"/>
      <c r="G164" s="78">
        <f t="shared" si="30"/>
        <v>0</v>
      </c>
      <c r="H164" s="83"/>
      <c r="I164" s="104"/>
    </row>
    <row r="165" spans="1:9" ht="40.5">
      <c r="A165" s="335" t="s">
        <v>291</v>
      </c>
      <c r="B165" s="340" t="s">
        <v>292</v>
      </c>
      <c r="C165" s="337"/>
      <c r="D165" s="87">
        <f>SUM(D167,D172)</f>
        <v>1240.6999999999998</v>
      </c>
      <c r="E165" s="87">
        <f t="shared" ref="E165:F165" si="35">SUM(E167,E172)</f>
        <v>3473.8</v>
      </c>
      <c r="F165" s="87">
        <f t="shared" si="35"/>
        <v>10096</v>
      </c>
      <c r="G165" s="78">
        <f t="shared" si="30"/>
        <v>6622.2</v>
      </c>
      <c r="H165" s="87">
        <f>F165/E165*100</f>
        <v>290.6327364845414</v>
      </c>
      <c r="I165" s="104"/>
    </row>
    <row r="166" spans="1:9">
      <c r="A166" s="120"/>
      <c r="B166" s="115" t="s">
        <v>123</v>
      </c>
      <c r="C166" s="119"/>
      <c r="D166" s="101"/>
      <c r="E166" s="342"/>
      <c r="F166" s="101"/>
      <c r="G166" s="78">
        <f t="shared" si="30"/>
        <v>0</v>
      </c>
      <c r="H166" s="83"/>
      <c r="I166" s="104"/>
    </row>
    <row r="167" spans="1:9" ht="19.5">
      <c r="A167" s="122" t="s">
        <v>151</v>
      </c>
      <c r="B167" s="91" t="s">
        <v>127</v>
      </c>
      <c r="C167" s="92">
        <v>1010</v>
      </c>
      <c r="D167" s="125"/>
      <c r="E167" s="343">
        <f>E168</f>
        <v>1510.7</v>
      </c>
      <c r="F167" s="95">
        <f>F168</f>
        <v>4764.7999999999993</v>
      </c>
      <c r="G167" s="93">
        <f t="shared" si="30"/>
        <v>3254.0999999999995</v>
      </c>
      <c r="H167" s="95">
        <f t="shared" ref="H167:H175" si="36">F167/E167*100</f>
        <v>315.4034553518236</v>
      </c>
      <c r="I167" s="104"/>
    </row>
    <row r="168" spans="1:9">
      <c r="A168" s="118" t="s">
        <v>293</v>
      </c>
      <c r="B168" s="97" t="s">
        <v>191</v>
      </c>
      <c r="C168" s="129">
        <v>1011</v>
      </c>
      <c r="D168" s="101"/>
      <c r="E168" s="344">
        <f>E169+E170</f>
        <v>1510.7</v>
      </c>
      <c r="F168" s="83">
        <f>F169+F170+F171</f>
        <v>4764.7999999999993</v>
      </c>
      <c r="G168" s="78">
        <f t="shared" si="30"/>
        <v>3254.0999999999995</v>
      </c>
      <c r="H168" s="83">
        <f t="shared" si="36"/>
        <v>315.4034553518236</v>
      </c>
      <c r="I168" s="104"/>
    </row>
    <row r="169" spans="1:9">
      <c r="A169" s="120"/>
      <c r="B169" s="115" t="s">
        <v>294</v>
      </c>
      <c r="C169" s="119"/>
      <c r="D169" s="101"/>
      <c r="E169" s="345">
        <v>1091.7</v>
      </c>
      <c r="F169" s="101">
        <v>848.8</v>
      </c>
      <c r="G169" s="62">
        <f t="shared" si="30"/>
        <v>-242.90000000000009</v>
      </c>
      <c r="H169" s="101">
        <f t="shared" si="36"/>
        <v>77.750297700833556</v>
      </c>
      <c r="I169" s="104"/>
    </row>
    <row r="170" spans="1:9">
      <c r="A170" s="120"/>
      <c r="B170" s="115" t="s">
        <v>248</v>
      </c>
      <c r="C170" s="119"/>
      <c r="D170" s="101"/>
      <c r="E170" s="345">
        <v>419</v>
      </c>
      <c r="F170" s="101">
        <v>3914.1</v>
      </c>
      <c r="G170" s="62">
        <f t="shared" si="30"/>
        <v>3495.1</v>
      </c>
      <c r="H170" s="101">
        <f t="shared" si="36"/>
        <v>934.15274463007165</v>
      </c>
      <c r="I170" s="104"/>
    </row>
    <row r="171" spans="1:9">
      <c r="A171" s="120"/>
      <c r="B171" s="115" t="s">
        <v>428</v>
      </c>
      <c r="C171" s="119"/>
      <c r="D171" s="101"/>
      <c r="E171" s="342"/>
      <c r="F171" s="101">
        <v>1.9</v>
      </c>
      <c r="G171" s="62">
        <f t="shared" si="30"/>
        <v>1.9</v>
      </c>
      <c r="H171" s="83"/>
      <c r="I171" s="104"/>
    </row>
    <row r="172" spans="1:9" ht="19.5">
      <c r="A172" s="122" t="s">
        <v>152</v>
      </c>
      <c r="B172" s="109" t="s">
        <v>130</v>
      </c>
      <c r="C172" s="128">
        <v>1030</v>
      </c>
      <c r="D172" s="95">
        <f>SUM(D173)</f>
        <v>1240.6999999999998</v>
      </c>
      <c r="E172" s="95">
        <f>SUM(E173)</f>
        <v>1963.1</v>
      </c>
      <c r="F172" s="95">
        <f>F173</f>
        <v>5331.2000000000007</v>
      </c>
      <c r="G172" s="93">
        <f t="shared" si="30"/>
        <v>3368.1000000000008</v>
      </c>
      <c r="H172" s="95">
        <f>F172/E172*100</f>
        <v>271.5704752687077</v>
      </c>
      <c r="I172" s="104"/>
    </row>
    <row r="173" spans="1:9">
      <c r="A173" s="118" t="s">
        <v>295</v>
      </c>
      <c r="B173" s="97" t="s">
        <v>191</v>
      </c>
      <c r="C173" s="129">
        <v>1031</v>
      </c>
      <c r="D173" s="83">
        <f>SUM(D174:D175)</f>
        <v>1240.6999999999998</v>
      </c>
      <c r="E173" s="83">
        <f t="shared" ref="E173" si="37">SUM(E174:E175)</f>
        <v>1963.1</v>
      </c>
      <c r="F173" s="83">
        <f>SUM(F174:F175)</f>
        <v>5331.2000000000007</v>
      </c>
      <c r="G173" s="78">
        <f t="shared" si="30"/>
        <v>3368.1000000000008</v>
      </c>
      <c r="H173" s="83">
        <f t="shared" si="36"/>
        <v>271.5704752687077</v>
      </c>
      <c r="I173" s="104"/>
    </row>
    <row r="174" spans="1:9">
      <c r="A174" s="120"/>
      <c r="B174" s="115" t="s">
        <v>247</v>
      </c>
      <c r="C174" s="119"/>
      <c r="D174" s="101">
        <v>1237.5999999999999</v>
      </c>
      <c r="E174" s="345">
        <v>1958.6</v>
      </c>
      <c r="F174" s="101">
        <v>5328.6</v>
      </c>
      <c r="G174" s="62">
        <f t="shared" si="30"/>
        <v>3370.0000000000005</v>
      </c>
      <c r="H174" s="101">
        <f t="shared" si="36"/>
        <v>272.0616767078526</v>
      </c>
      <c r="I174" s="104"/>
    </row>
    <row r="175" spans="1:9">
      <c r="A175" s="120"/>
      <c r="B175" s="115" t="s">
        <v>249</v>
      </c>
      <c r="C175" s="119"/>
      <c r="D175" s="101">
        <v>3.1</v>
      </c>
      <c r="E175" s="345">
        <v>4.5</v>
      </c>
      <c r="F175" s="101">
        <v>2.6</v>
      </c>
      <c r="G175" s="62">
        <f t="shared" si="30"/>
        <v>-1.9</v>
      </c>
      <c r="H175" s="101">
        <f t="shared" si="36"/>
        <v>57.777777777777786</v>
      </c>
      <c r="I175" s="104"/>
    </row>
    <row r="176" spans="1:9" ht="20.25">
      <c r="A176" s="335" t="s">
        <v>296</v>
      </c>
      <c r="B176" s="340" t="s">
        <v>297</v>
      </c>
      <c r="C176" s="337"/>
      <c r="D176" s="87">
        <f>SUM(D183,D181,D177)</f>
        <v>147.30000000000001</v>
      </c>
      <c r="E176" s="87">
        <f t="shared" ref="E176:F176" si="38">SUM(E183,E181,E177)</f>
        <v>0</v>
      </c>
      <c r="F176" s="130">
        <f t="shared" si="38"/>
        <v>4.9000000000000004</v>
      </c>
      <c r="G176" s="85">
        <f t="shared" si="30"/>
        <v>4.9000000000000004</v>
      </c>
      <c r="H176" s="87"/>
      <c r="I176" s="347"/>
    </row>
    <row r="177" spans="1:9" ht="19.5">
      <c r="A177" s="122" t="s">
        <v>298</v>
      </c>
      <c r="B177" s="91" t="s">
        <v>127</v>
      </c>
      <c r="C177" s="92">
        <v>1010</v>
      </c>
      <c r="D177" s="95">
        <f>SUM(D178)</f>
        <v>0</v>
      </c>
      <c r="E177" s="95">
        <f t="shared" ref="E177:F177" si="39">SUM(E178)</f>
        <v>0</v>
      </c>
      <c r="F177" s="95">
        <f t="shared" si="39"/>
        <v>2.6</v>
      </c>
      <c r="G177" s="93">
        <f t="shared" si="30"/>
        <v>2.6</v>
      </c>
      <c r="H177" s="95"/>
      <c r="I177" s="104"/>
    </row>
    <row r="178" spans="1:9">
      <c r="A178" s="118" t="s">
        <v>299</v>
      </c>
      <c r="B178" s="97" t="s">
        <v>191</v>
      </c>
      <c r="C178" s="98">
        <v>1011</v>
      </c>
      <c r="D178" s="83">
        <f>SUM(D179:D180)</f>
        <v>0</v>
      </c>
      <c r="E178" s="83">
        <f t="shared" ref="E178:F178" si="40">SUM(E179:E180)</f>
        <v>0</v>
      </c>
      <c r="F178" s="83">
        <f t="shared" si="40"/>
        <v>2.6</v>
      </c>
      <c r="G178" s="78">
        <f t="shared" si="30"/>
        <v>2.6</v>
      </c>
      <c r="H178" s="83"/>
      <c r="I178" s="104"/>
    </row>
    <row r="179" spans="1:9">
      <c r="A179" s="118"/>
      <c r="B179" s="103" t="s">
        <v>301</v>
      </c>
      <c r="C179" s="119"/>
      <c r="D179" s="124"/>
      <c r="E179" s="289"/>
      <c r="F179" s="124">
        <v>2</v>
      </c>
      <c r="G179" s="62">
        <f t="shared" si="30"/>
        <v>2</v>
      </c>
      <c r="H179" s="83"/>
      <c r="I179" s="104"/>
    </row>
    <row r="180" spans="1:9">
      <c r="A180" s="118"/>
      <c r="B180" s="103" t="s">
        <v>203</v>
      </c>
      <c r="C180" s="119"/>
      <c r="D180" s="124"/>
      <c r="E180" s="289"/>
      <c r="F180" s="124">
        <v>0.6</v>
      </c>
      <c r="G180" s="62">
        <f t="shared" si="30"/>
        <v>0.6</v>
      </c>
      <c r="H180" s="83"/>
      <c r="I180" s="104"/>
    </row>
    <row r="181" spans="1:9" ht="20.25">
      <c r="A181" s="122" t="s">
        <v>302</v>
      </c>
      <c r="B181" s="131" t="s">
        <v>129</v>
      </c>
      <c r="C181" s="117">
        <v>1020</v>
      </c>
      <c r="D181" s="290">
        <f>SUM(D182)</f>
        <v>3.9</v>
      </c>
      <c r="E181" s="290">
        <f t="shared" ref="E181:F181" si="41">SUM(E182)</f>
        <v>0</v>
      </c>
      <c r="F181" s="290">
        <f t="shared" si="41"/>
        <v>0</v>
      </c>
      <c r="G181" s="78">
        <f t="shared" si="30"/>
        <v>0</v>
      </c>
      <c r="H181" s="95"/>
      <c r="I181" s="104"/>
    </row>
    <row r="182" spans="1:9">
      <c r="A182" s="118" t="s">
        <v>452</v>
      </c>
      <c r="B182" s="70" t="s">
        <v>4</v>
      </c>
      <c r="C182" s="51">
        <v>1024</v>
      </c>
      <c r="D182" s="291">
        <v>3.9</v>
      </c>
      <c r="E182" s="289"/>
      <c r="F182" s="124"/>
      <c r="G182" s="78">
        <f t="shared" si="30"/>
        <v>0</v>
      </c>
      <c r="H182" s="83"/>
      <c r="I182" s="104"/>
    </row>
    <row r="183" spans="1:9" ht="19.5">
      <c r="A183" s="122" t="s">
        <v>303</v>
      </c>
      <c r="B183" s="109" t="s">
        <v>130</v>
      </c>
      <c r="C183" s="128">
        <v>1030</v>
      </c>
      <c r="D183" s="126">
        <f>SUM(D184,D188)</f>
        <v>143.4</v>
      </c>
      <c r="E183" s="126">
        <f t="shared" ref="E183:G183" si="42">SUM(E184)</f>
        <v>0</v>
      </c>
      <c r="F183" s="126">
        <f t="shared" si="42"/>
        <v>2.2999999999999998</v>
      </c>
      <c r="G183" s="95">
        <f t="shared" si="42"/>
        <v>2.2999999999999998</v>
      </c>
      <c r="H183" s="95"/>
      <c r="I183" s="104"/>
    </row>
    <row r="184" spans="1:9">
      <c r="A184" s="118" t="s">
        <v>304</v>
      </c>
      <c r="B184" s="97" t="s">
        <v>191</v>
      </c>
      <c r="C184" s="129">
        <v>1031</v>
      </c>
      <c r="D184" s="127">
        <f>D185+D186+D187</f>
        <v>129.4</v>
      </c>
      <c r="E184" s="289"/>
      <c r="F184" s="127">
        <f>F185+F187+F186</f>
        <v>2.2999999999999998</v>
      </c>
      <c r="G184" s="78">
        <f t="shared" si="30"/>
        <v>2.2999999999999998</v>
      </c>
      <c r="H184" s="83"/>
      <c r="I184" s="104"/>
    </row>
    <row r="185" spans="1:9">
      <c r="A185" s="120"/>
      <c r="B185" s="105" t="s">
        <v>444</v>
      </c>
      <c r="C185" s="119"/>
      <c r="D185" s="124">
        <v>77.8</v>
      </c>
      <c r="E185" s="289"/>
      <c r="F185" s="124">
        <v>2.2999999999999998</v>
      </c>
      <c r="G185" s="62">
        <f t="shared" si="30"/>
        <v>2.2999999999999998</v>
      </c>
      <c r="H185" s="83"/>
      <c r="I185" s="104"/>
    </row>
    <row r="186" spans="1:9">
      <c r="A186" s="120"/>
      <c r="B186" s="105" t="s">
        <v>301</v>
      </c>
      <c r="C186" s="119"/>
      <c r="D186" s="124">
        <v>48.2</v>
      </c>
      <c r="E186" s="289"/>
      <c r="F186" s="124"/>
      <c r="G186" s="78">
        <f t="shared" si="30"/>
        <v>0</v>
      </c>
      <c r="H186" s="83"/>
      <c r="I186" s="104"/>
    </row>
    <row r="187" spans="1:9">
      <c r="A187" s="120"/>
      <c r="B187" s="103" t="s">
        <v>250</v>
      </c>
      <c r="C187" s="119"/>
      <c r="D187" s="124">
        <v>3.4</v>
      </c>
      <c r="E187" s="289"/>
      <c r="F187" s="259"/>
      <c r="G187" s="78">
        <f t="shared" si="30"/>
        <v>0</v>
      </c>
      <c r="H187" s="83"/>
      <c r="I187" s="104"/>
    </row>
    <row r="188" spans="1:9">
      <c r="A188" s="118" t="s">
        <v>493</v>
      </c>
      <c r="B188" s="106" t="s">
        <v>130</v>
      </c>
      <c r="C188" s="129">
        <v>1035</v>
      </c>
      <c r="D188" s="127">
        <v>14</v>
      </c>
      <c r="E188" s="289"/>
      <c r="F188" s="259"/>
      <c r="G188" s="78"/>
      <c r="H188" s="83"/>
      <c r="I188" s="104"/>
    </row>
    <row r="189" spans="1:9">
      <c r="A189" s="120"/>
      <c r="B189" s="103" t="s">
        <v>469</v>
      </c>
      <c r="C189" s="119"/>
      <c r="D189" s="124">
        <v>14</v>
      </c>
      <c r="E189" s="289"/>
      <c r="F189" s="259"/>
      <c r="G189" s="78"/>
      <c r="H189" s="83"/>
      <c r="I189" s="104"/>
    </row>
    <row r="190" spans="1:9" ht="40.5">
      <c r="A190" s="335" t="s">
        <v>305</v>
      </c>
      <c r="B190" s="339" t="s">
        <v>306</v>
      </c>
      <c r="C190" s="337"/>
      <c r="D190" s="102"/>
      <c r="E190" s="346">
        <f>E191</f>
        <v>107.39999999999999</v>
      </c>
      <c r="F190" s="87">
        <f>F191</f>
        <v>80.8</v>
      </c>
      <c r="G190" s="78">
        <f t="shared" si="30"/>
        <v>-26.599999999999994</v>
      </c>
      <c r="H190" s="87">
        <f>F190/E190*100</f>
        <v>75.232774674115461</v>
      </c>
      <c r="I190" s="104"/>
    </row>
    <row r="191" spans="1:9" ht="19.5">
      <c r="A191" s="122" t="s">
        <v>307</v>
      </c>
      <c r="B191" s="91" t="s">
        <v>127</v>
      </c>
      <c r="C191" s="128">
        <v>1010</v>
      </c>
      <c r="D191" s="125"/>
      <c r="E191" s="343">
        <f>E192+E193</f>
        <v>107.39999999999999</v>
      </c>
      <c r="F191" s="95">
        <f>F192+F193</f>
        <v>80.8</v>
      </c>
      <c r="G191" s="93">
        <f t="shared" si="30"/>
        <v>-26.599999999999994</v>
      </c>
      <c r="H191" s="95">
        <f t="shared" ref="H191:H197" si="43">F191/E191*100</f>
        <v>75.232774674115461</v>
      </c>
      <c r="I191" s="104"/>
    </row>
    <row r="192" spans="1:9">
      <c r="A192" s="118" t="s">
        <v>308</v>
      </c>
      <c r="B192" s="106" t="s">
        <v>2</v>
      </c>
      <c r="C192" s="98">
        <v>1012</v>
      </c>
      <c r="D192" s="101"/>
      <c r="E192" s="344">
        <v>93.6</v>
      </c>
      <c r="F192" s="83">
        <v>70.5</v>
      </c>
      <c r="G192" s="78">
        <f t="shared" ref="G192:G207" si="44">F192-E192</f>
        <v>-23.099999999999994</v>
      </c>
      <c r="H192" s="83">
        <f t="shared" si="43"/>
        <v>75.320512820512832</v>
      </c>
      <c r="I192" s="104"/>
    </row>
    <row r="193" spans="1:9">
      <c r="A193" s="118" t="s">
        <v>309</v>
      </c>
      <c r="B193" s="106" t="s">
        <v>3</v>
      </c>
      <c r="C193" s="98">
        <v>1013</v>
      </c>
      <c r="D193" s="101"/>
      <c r="E193" s="344">
        <v>13.8</v>
      </c>
      <c r="F193" s="83">
        <v>10.3</v>
      </c>
      <c r="G193" s="78">
        <f t="shared" si="44"/>
        <v>-3.5</v>
      </c>
      <c r="H193" s="83">
        <f t="shared" si="43"/>
        <v>74.637681159420282</v>
      </c>
      <c r="I193" s="104"/>
    </row>
    <row r="194" spans="1:9" ht="23.25" customHeight="1">
      <c r="A194" s="335" t="s">
        <v>310</v>
      </c>
      <c r="B194" s="340" t="s">
        <v>154</v>
      </c>
      <c r="C194" s="331"/>
      <c r="D194" s="102"/>
      <c r="E194" s="346">
        <f>E196</f>
        <v>0.6</v>
      </c>
      <c r="F194" s="87">
        <f>F195</f>
        <v>1.1000000000000001</v>
      </c>
      <c r="G194" s="85">
        <f t="shared" si="44"/>
        <v>0.50000000000000011</v>
      </c>
      <c r="H194" s="87">
        <f t="shared" si="43"/>
        <v>183.33333333333334</v>
      </c>
      <c r="I194" s="347"/>
    </row>
    <row r="195" spans="1:9" ht="19.5">
      <c r="A195" s="122" t="s">
        <v>311</v>
      </c>
      <c r="B195" s="109" t="s">
        <v>130</v>
      </c>
      <c r="C195" s="128">
        <v>1030</v>
      </c>
      <c r="D195" s="95">
        <f>SUM(D196)</f>
        <v>0</v>
      </c>
      <c r="E195" s="95">
        <f t="shared" ref="E195:F196" si="45">SUM(E196)</f>
        <v>0.6</v>
      </c>
      <c r="F195" s="95">
        <f t="shared" si="45"/>
        <v>1.1000000000000001</v>
      </c>
      <c r="G195" s="93">
        <f t="shared" si="44"/>
        <v>0.50000000000000011</v>
      </c>
      <c r="H195" s="95">
        <f t="shared" si="43"/>
        <v>183.33333333333334</v>
      </c>
      <c r="I195" s="104"/>
    </row>
    <row r="196" spans="1:9">
      <c r="A196" s="118" t="s">
        <v>312</v>
      </c>
      <c r="B196" s="106" t="s">
        <v>130</v>
      </c>
      <c r="C196" s="129">
        <v>1035</v>
      </c>
      <c r="D196" s="83">
        <f>SUM(D197)</f>
        <v>0</v>
      </c>
      <c r="E196" s="83">
        <f t="shared" si="45"/>
        <v>0.6</v>
      </c>
      <c r="F196" s="83">
        <f t="shared" si="45"/>
        <v>1.1000000000000001</v>
      </c>
      <c r="G196" s="78">
        <f t="shared" si="44"/>
        <v>0.50000000000000011</v>
      </c>
      <c r="H196" s="83">
        <f t="shared" si="43"/>
        <v>183.33333333333334</v>
      </c>
      <c r="I196" s="104"/>
    </row>
    <row r="197" spans="1:9">
      <c r="A197" s="118"/>
      <c r="B197" s="105" t="s">
        <v>239</v>
      </c>
      <c r="C197" s="98"/>
      <c r="D197" s="101"/>
      <c r="E197" s="345">
        <v>0.6</v>
      </c>
      <c r="F197" s="101">
        <v>1.1000000000000001</v>
      </c>
      <c r="G197" s="62">
        <f t="shared" si="44"/>
        <v>0.50000000000000011</v>
      </c>
      <c r="H197" s="101">
        <f t="shared" si="43"/>
        <v>183.33333333333334</v>
      </c>
      <c r="I197" s="104"/>
    </row>
    <row r="198" spans="1:9" ht="20.25">
      <c r="A198" s="335" t="s">
        <v>313</v>
      </c>
      <c r="B198" s="336" t="s">
        <v>502</v>
      </c>
      <c r="C198" s="341"/>
      <c r="D198" s="87">
        <f>SUM(D200,D202,D205)</f>
        <v>589.6</v>
      </c>
      <c r="E198" s="87">
        <f t="shared" ref="E198:F198" si="46">SUM(E200,E202,E205)</f>
        <v>870</v>
      </c>
      <c r="F198" s="87">
        <f t="shared" si="46"/>
        <v>228.1</v>
      </c>
      <c r="G198" s="78">
        <f t="shared" si="44"/>
        <v>-641.9</v>
      </c>
      <c r="H198" s="87">
        <f>(F198/E198)*100</f>
        <v>26.218390804597703</v>
      </c>
      <c r="I198" s="104"/>
    </row>
    <row r="199" spans="1:9">
      <c r="A199" s="120"/>
      <c r="B199" s="115" t="s">
        <v>123</v>
      </c>
      <c r="C199" s="119"/>
      <c r="D199" s="101"/>
      <c r="E199" s="101"/>
      <c r="F199" s="101"/>
      <c r="G199" s="78">
        <f t="shared" si="44"/>
        <v>0</v>
      </c>
      <c r="H199" s="83"/>
      <c r="I199" s="104"/>
    </row>
    <row r="200" spans="1:9" ht="19.5">
      <c r="A200" s="122" t="s">
        <v>314</v>
      </c>
      <c r="B200" s="247" t="s">
        <v>127</v>
      </c>
      <c r="C200" s="128">
        <v>1010</v>
      </c>
      <c r="D200" s="95"/>
      <c r="E200" s="95">
        <f>E201</f>
        <v>870</v>
      </c>
      <c r="F200" s="95">
        <f>F201</f>
        <v>213.4</v>
      </c>
      <c r="G200" s="93">
        <f t="shared" si="44"/>
        <v>-656.6</v>
      </c>
      <c r="H200" s="95">
        <f>F200/E200*100</f>
        <v>24.52873563218391</v>
      </c>
      <c r="I200" s="104"/>
    </row>
    <row r="201" spans="1:9">
      <c r="A201" s="118" t="s">
        <v>315</v>
      </c>
      <c r="B201" s="116" t="s">
        <v>453</v>
      </c>
      <c r="C201" s="129">
        <v>1014</v>
      </c>
      <c r="D201" s="127"/>
      <c r="E201" s="127">
        <v>870</v>
      </c>
      <c r="F201" s="127">
        <v>213.4</v>
      </c>
      <c r="G201" s="78">
        <f t="shared" si="44"/>
        <v>-656.6</v>
      </c>
      <c r="H201" s="83">
        <f>F201/E201*100</f>
        <v>24.52873563218391</v>
      </c>
      <c r="I201" s="104"/>
    </row>
    <row r="202" spans="1:9" ht="19.5">
      <c r="A202" s="122" t="s">
        <v>317</v>
      </c>
      <c r="B202" s="91" t="s">
        <v>129</v>
      </c>
      <c r="C202" s="117">
        <v>1020</v>
      </c>
      <c r="D202" s="290">
        <v>589.6</v>
      </c>
      <c r="E202" s="132"/>
      <c r="F202" s="132"/>
      <c r="G202" s="78">
        <f t="shared" si="44"/>
        <v>0</v>
      </c>
      <c r="H202" s="95"/>
      <c r="I202" s="104"/>
    </row>
    <row r="203" spans="1:9" ht="37.5">
      <c r="A203" s="118" t="s">
        <v>318</v>
      </c>
      <c r="B203" s="111" t="s">
        <v>316</v>
      </c>
      <c r="C203" s="129">
        <v>1024</v>
      </c>
      <c r="D203" s="291">
        <v>589.6</v>
      </c>
      <c r="E203" s="127"/>
      <c r="F203" s="127"/>
      <c r="G203" s="78">
        <f t="shared" si="44"/>
        <v>0</v>
      </c>
      <c r="H203" s="83"/>
      <c r="I203" s="104"/>
    </row>
    <row r="204" spans="1:9">
      <c r="A204" s="118"/>
      <c r="B204" s="105" t="s">
        <v>319</v>
      </c>
      <c r="C204" s="119"/>
      <c r="D204" s="292">
        <v>589.6</v>
      </c>
      <c r="E204" s="127"/>
      <c r="F204" s="127"/>
      <c r="G204" s="78">
        <f t="shared" si="44"/>
        <v>0</v>
      </c>
      <c r="H204" s="83"/>
      <c r="I204" s="104"/>
    </row>
    <row r="205" spans="1:9" ht="19.5">
      <c r="A205" s="122" t="s">
        <v>454</v>
      </c>
      <c r="B205" s="134" t="s">
        <v>130</v>
      </c>
      <c r="C205" s="128">
        <v>1030</v>
      </c>
      <c r="D205" s="132"/>
      <c r="E205" s="126">
        <f>E206</f>
        <v>0</v>
      </c>
      <c r="F205" s="126">
        <f>F206</f>
        <v>14.7</v>
      </c>
      <c r="G205" s="78">
        <f t="shared" si="44"/>
        <v>14.7</v>
      </c>
      <c r="H205" s="95"/>
      <c r="I205" s="135"/>
    </row>
    <row r="206" spans="1:9" ht="37.5">
      <c r="A206" s="118" t="s">
        <v>455</v>
      </c>
      <c r="B206" s="111" t="s">
        <v>316</v>
      </c>
      <c r="C206" s="129">
        <v>1034</v>
      </c>
      <c r="D206" s="124"/>
      <c r="E206" s="127"/>
      <c r="F206" s="127">
        <f>F207</f>
        <v>14.7</v>
      </c>
      <c r="G206" s="78">
        <f t="shared" si="44"/>
        <v>14.7</v>
      </c>
      <c r="H206" s="83"/>
      <c r="I206" s="104"/>
    </row>
    <row r="207" spans="1:9">
      <c r="A207" s="120"/>
      <c r="B207" s="105" t="s">
        <v>319</v>
      </c>
      <c r="C207" s="119"/>
      <c r="D207" s="124"/>
      <c r="E207" s="124"/>
      <c r="F207" s="124">
        <v>14.7</v>
      </c>
      <c r="G207" s="62">
        <f t="shared" si="44"/>
        <v>14.7</v>
      </c>
      <c r="H207" s="83"/>
      <c r="I207" s="104"/>
    </row>
    <row r="208" spans="1:9">
      <c r="A208" s="104"/>
      <c r="B208" s="136"/>
      <c r="C208" s="137"/>
      <c r="D208" s="293"/>
      <c r="E208" s="139"/>
      <c r="F208" s="139"/>
      <c r="G208" s="138"/>
      <c r="H208" s="138"/>
      <c r="I208" s="104"/>
    </row>
    <row r="209" spans="1:9" ht="20.25">
      <c r="A209" s="104"/>
      <c r="B209" s="244" t="s">
        <v>320</v>
      </c>
      <c r="C209" s="245"/>
      <c r="D209" s="354"/>
      <c r="E209" s="355"/>
      <c r="F209" s="246"/>
      <c r="G209" s="349" t="s">
        <v>321</v>
      </c>
      <c r="H209" s="349"/>
      <c r="I209" s="223"/>
    </row>
    <row r="210" spans="1:9" ht="20.25">
      <c r="A210" s="104"/>
      <c r="B210" s="142" t="s">
        <v>12</v>
      </c>
      <c r="C210" s="143"/>
      <c r="D210" s="353" t="s">
        <v>13</v>
      </c>
      <c r="E210" s="353"/>
      <c r="F210" s="144"/>
      <c r="G210" s="350" t="s">
        <v>504</v>
      </c>
      <c r="H210" s="350"/>
      <c r="I210" s="252"/>
    </row>
    <row r="211" spans="1:9">
      <c r="A211" s="104"/>
      <c r="B211" s="136"/>
      <c r="C211" s="137"/>
      <c r="D211" s="293"/>
      <c r="E211" s="139"/>
      <c r="F211" s="139"/>
      <c r="G211" s="138"/>
      <c r="H211" s="138"/>
      <c r="I211" s="104"/>
    </row>
    <row r="212" spans="1:9">
      <c r="B212" s="43"/>
    </row>
    <row r="213" spans="1:9">
      <c r="B213" s="43"/>
    </row>
    <row r="214" spans="1:9">
      <c r="B214" s="43"/>
    </row>
    <row r="215" spans="1:9">
      <c r="B215" s="43"/>
    </row>
    <row r="216" spans="1:9">
      <c r="B216" s="43"/>
    </row>
    <row r="217" spans="1:9">
      <c r="B217" s="43"/>
    </row>
    <row r="218" spans="1:9">
      <c r="B218" s="43"/>
    </row>
    <row r="219" spans="1:9">
      <c r="B219" s="43"/>
    </row>
    <row r="220" spans="1:9">
      <c r="B220" s="43"/>
    </row>
    <row r="221" spans="1:9">
      <c r="B221" s="43"/>
    </row>
    <row r="222" spans="1:9">
      <c r="B222" s="43"/>
    </row>
    <row r="223" spans="1:9">
      <c r="B223" s="43"/>
    </row>
    <row r="224" spans="1:9">
      <c r="B224" s="43"/>
    </row>
    <row r="225" spans="2:2">
      <c r="B225" s="43"/>
    </row>
    <row r="226" spans="2:2">
      <c r="B226" s="43"/>
    </row>
    <row r="227" spans="2:2">
      <c r="B227" s="43"/>
    </row>
    <row r="228" spans="2:2">
      <c r="B228" s="43"/>
    </row>
    <row r="229" spans="2:2">
      <c r="B229" s="43"/>
    </row>
    <row r="230" spans="2:2">
      <c r="B230" s="43"/>
    </row>
    <row r="231" spans="2:2">
      <c r="B231" s="43"/>
    </row>
    <row r="232" spans="2:2">
      <c r="B232" s="43"/>
    </row>
    <row r="233" spans="2:2">
      <c r="B233" s="43"/>
    </row>
  </sheetData>
  <mergeCells count="6">
    <mergeCell ref="D209:E209"/>
    <mergeCell ref="G209:H209"/>
    <mergeCell ref="D210:E210"/>
    <mergeCell ref="B1:H1"/>
    <mergeCell ref="A5:B5"/>
    <mergeCell ref="G210:H210"/>
  </mergeCells>
  <pageMargins left="0.39370078740157483" right="0.39370078740157483" top="0.78740157480314965" bottom="0.39370078740157483" header="0.31496062992125984" footer="0.31496062992125984"/>
  <pageSetup paperSize="9" scale="67" fitToHeight="7" orientation="landscape" r:id="rId1"/>
  <rowBreaks count="1" manualBreakCount="1">
    <brk id="15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240"/>
  <sheetViews>
    <sheetView view="pageBreakPreview" topLeftCell="A16" zoomScale="75" zoomScaleNormal="100" zoomScaleSheetLayoutView="75" workbookViewId="0">
      <selection activeCell="C103" sqref="C103:D103"/>
    </sheetView>
  </sheetViews>
  <sheetFormatPr defaultRowHeight="18.75"/>
  <cols>
    <col min="1" max="1" width="69" style="33" customWidth="1"/>
    <col min="2" max="2" width="12" style="42" customWidth="1"/>
    <col min="3" max="3" width="16.140625" style="283" customWidth="1"/>
    <col min="4" max="4" width="16.7109375" style="283" customWidth="1"/>
    <col min="5" max="5" width="16.140625" style="42" customWidth="1"/>
    <col min="6" max="6" width="16" style="42" customWidth="1"/>
    <col min="7" max="7" width="16.42578125" style="33" customWidth="1"/>
    <col min="8" max="16384" width="9.140625" style="33"/>
  </cols>
  <sheetData>
    <row r="1" spans="1:8" ht="27.75" customHeight="1">
      <c r="A1" s="371" t="s">
        <v>145</v>
      </c>
      <c r="B1" s="371"/>
      <c r="C1" s="371"/>
      <c r="D1" s="371"/>
      <c r="E1" s="371"/>
      <c r="F1" s="371"/>
    </row>
    <row r="2" spans="1:8" ht="19.5" customHeight="1">
      <c r="A2" s="34"/>
      <c r="B2" s="35"/>
      <c r="C2" s="278"/>
      <c r="D2" s="278"/>
      <c r="E2" s="34"/>
      <c r="F2" s="35"/>
      <c r="G2" s="46" t="s">
        <v>102</v>
      </c>
    </row>
    <row r="3" spans="1:8" ht="64.5" customHeight="1">
      <c r="A3" s="37" t="s">
        <v>31</v>
      </c>
      <c r="B3" s="38" t="s">
        <v>5</v>
      </c>
      <c r="C3" s="47" t="s">
        <v>460</v>
      </c>
      <c r="D3" s="47" t="s">
        <v>461</v>
      </c>
      <c r="E3" s="47" t="s">
        <v>462</v>
      </c>
      <c r="F3" s="44" t="s">
        <v>162</v>
      </c>
      <c r="G3" s="45" t="s">
        <v>163</v>
      </c>
    </row>
    <row r="4" spans="1:8" ht="18" customHeight="1">
      <c r="A4" s="40">
        <v>1</v>
      </c>
      <c r="B4" s="2">
        <v>2</v>
      </c>
      <c r="C4" s="279">
        <v>3</v>
      </c>
      <c r="D4" s="279">
        <v>4</v>
      </c>
      <c r="E4" s="2">
        <v>5</v>
      </c>
      <c r="F4" s="2">
        <v>6</v>
      </c>
      <c r="G4" s="39">
        <v>7</v>
      </c>
    </row>
    <row r="5" spans="1:8" ht="37.5" customHeight="1">
      <c r="A5" s="133" t="s">
        <v>15</v>
      </c>
      <c r="B5" s="145">
        <v>4000</v>
      </c>
      <c r="C5" s="130">
        <f>SUM(C6,C23,C94)</f>
        <v>3080.7</v>
      </c>
      <c r="D5" s="130">
        <f>SUM(D6,D23,D94)+D97</f>
        <v>5415.8</v>
      </c>
      <c r="E5" s="146">
        <f>SUM(E6,E23,E94)</f>
        <v>352.7</v>
      </c>
      <c r="F5" s="146">
        <f t="shared" ref="F5:F22" si="0">E5-D5</f>
        <v>-5063.1000000000004</v>
      </c>
      <c r="G5" s="147">
        <f t="shared" ref="G5:G22" si="1">(E5/D5)*100</f>
        <v>6.5124266036411971</v>
      </c>
      <c r="H5" s="148"/>
    </row>
    <row r="6" spans="1:8" ht="27.75" customHeight="1">
      <c r="A6" s="152" t="s">
        <v>0</v>
      </c>
      <c r="B6" s="153">
        <v>4020</v>
      </c>
      <c r="C6" s="127">
        <f>SUM(C7:C15)</f>
        <v>1893.0000000000002</v>
      </c>
      <c r="D6" s="127">
        <f>SUM(D7:D20)</f>
        <v>1735.4</v>
      </c>
      <c r="E6" s="151">
        <f>SUM(E7:E22)</f>
        <v>186.7</v>
      </c>
      <c r="F6" s="151">
        <f t="shared" si="0"/>
        <v>-1548.7</v>
      </c>
      <c r="G6" s="50">
        <f t="shared" si="1"/>
        <v>10.758326610579692</v>
      </c>
      <c r="H6" s="148"/>
    </row>
    <row r="7" spans="1:8" ht="21.75" customHeight="1">
      <c r="A7" s="60" t="s">
        <v>495</v>
      </c>
      <c r="B7" s="149"/>
      <c r="C7" s="124">
        <v>437.6</v>
      </c>
      <c r="D7" s="124">
        <v>166.7</v>
      </c>
      <c r="E7" s="150"/>
      <c r="F7" s="150">
        <f t="shared" si="0"/>
        <v>-166.7</v>
      </c>
      <c r="G7" s="234">
        <f t="shared" si="1"/>
        <v>0</v>
      </c>
      <c r="H7" s="148"/>
    </row>
    <row r="8" spans="1:8" ht="24.75" customHeight="1">
      <c r="A8" s="231" t="s">
        <v>494</v>
      </c>
      <c r="B8" s="149"/>
      <c r="C8" s="124">
        <v>912.3</v>
      </c>
      <c r="D8" s="124">
        <v>1250</v>
      </c>
      <c r="E8" s="150"/>
      <c r="F8" s="150">
        <f t="shared" si="0"/>
        <v>-1250</v>
      </c>
      <c r="G8" s="57">
        <f t="shared" si="1"/>
        <v>0</v>
      </c>
      <c r="H8" s="148"/>
    </row>
    <row r="9" spans="1:8" s="41" customFormat="1" ht="23.25" customHeight="1">
      <c r="A9" s="89" t="s">
        <v>475</v>
      </c>
      <c r="B9" s="149"/>
      <c r="C9" s="124">
        <v>99.7</v>
      </c>
      <c r="D9" s="124">
        <v>41.7</v>
      </c>
      <c r="E9" s="150"/>
      <c r="F9" s="150">
        <f t="shared" si="0"/>
        <v>-41.7</v>
      </c>
      <c r="G9" s="234">
        <f t="shared" si="1"/>
        <v>0</v>
      </c>
      <c r="H9" s="148"/>
    </row>
    <row r="10" spans="1:8" ht="39" customHeight="1">
      <c r="A10" s="105" t="s">
        <v>496</v>
      </c>
      <c r="B10" s="149"/>
      <c r="C10" s="124">
        <v>342.3</v>
      </c>
      <c r="D10" s="124">
        <v>100</v>
      </c>
      <c r="E10" s="150"/>
      <c r="F10" s="150">
        <f t="shared" si="0"/>
        <v>-100</v>
      </c>
      <c r="G10" s="57">
        <f t="shared" si="1"/>
        <v>0</v>
      </c>
      <c r="H10" s="148"/>
    </row>
    <row r="11" spans="1:8" ht="21.75" customHeight="1">
      <c r="A11" s="105" t="s">
        <v>474</v>
      </c>
      <c r="B11" s="149"/>
      <c r="C11" s="124">
        <v>8.1999999999999993</v>
      </c>
      <c r="D11" s="124"/>
      <c r="E11" s="150"/>
      <c r="F11" s="150">
        <f t="shared" si="0"/>
        <v>0</v>
      </c>
      <c r="G11" s="234" t="e">
        <f t="shared" si="1"/>
        <v>#DIV/0!</v>
      </c>
      <c r="H11" s="148"/>
    </row>
    <row r="12" spans="1:8" ht="40.5" customHeight="1">
      <c r="A12" s="105" t="s">
        <v>473</v>
      </c>
      <c r="B12" s="149"/>
      <c r="C12" s="124">
        <v>61.4</v>
      </c>
      <c r="D12" s="124"/>
      <c r="E12" s="150"/>
      <c r="F12" s="150">
        <f t="shared" si="0"/>
        <v>0</v>
      </c>
      <c r="G12" s="234" t="e">
        <f t="shared" si="1"/>
        <v>#DIV/0!</v>
      </c>
      <c r="H12" s="148"/>
    </row>
    <row r="13" spans="1:8" ht="37.5" customHeight="1">
      <c r="A13" s="232" t="s">
        <v>472</v>
      </c>
      <c r="B13" s="149"/>
      <c r="C13" s="124">
        <v>31.5</v>
      </c>
      <c r="D13" s="124">
        <v>31.5</v>
      </c>
      <c r="E13" s="101"/>
      <c r="F13" s="150">
        <f t="shared" si="0"/>
        <v>-31.5</v>
      </c>
      <c r="G13" s="57">
        <f t="shared" si="1"/>
        <v>0</v>
      </c>
      <c r="H13" s="148"/>
    </row>
    <row r="14" spans="1:8" ht="27" customHeight="1">
      <c r="A14" s="89" t="s">
        <v>418</v>
      </c>
      <c r="B14" s="149"/>
      <c r="C14" s="124"/>
      <c r="D14" s="124">
        <v>20</v>
      </c>
      <c r="E14" s="150"/>
      <c r="F14" s="150">
        <f t="shared" si="0"/>
        <v>-20</v>
      </c>
      <c r="G14" s="57">
        <f t="shared" si="1"/>
        <v>0</v>
      </c>
      <c r="H14" s="148"/>
    </row>
    <row r="15" spans="1:8" ht="26.25" customHeight="1">
      <c r="A15" s="155" t="s">
        <v>419</v>
      </c>
      <c r="B15" s="149"/>
      <c r="C15" s="56"/>
      <c r="D15" s="124">
        <v>110.5</v>
      </c>
      <c r="E15" s="150">
        <v>23</v>
      </c>
      <c r="F15" s="150">
        <f t="shared" si="0"/>
        <v>-87.5</v>
      </c>
      <c r="G15" s="57">
        <f t="shared" si="1"/>
        <v>20.81447963800905</v>
      </c>
      <c r="H15" s="148"/>
    </row>
    <row r="16" spans="1:8" ht="26.25" customHeight="1">
      <c r="A16" s="155" t="s">
        <v>470</v>
      </c>
      <c r="B16" s="149"/>
      <c r="C16" s="56"/>
      <c r="D16" s="124">
        <v>15</v>
      </c>
      <c r="E16" s="150"/>
      <c r="F16" s="150"/>
      <c r="G16" s="57"/>
      <c r="H16" s="148"/>
    </row>
    <row r="17" spans="1:8" ht="26.25" customHeight="1">
      <c r="A17" s="155" t="s">
        <v>427</v>
      </c>
      <c r="B17" s="149"/>
      <c r="C17" s="56"/>
      <c r="D17" s="124"/>
      <c r="E17" s="150">
        <v>36.5</v>
      </c>
      <c r="F17" s="150">
        <f t="shared" si="0"/>
        <v>36.5</v>
      </c>
      <c r="G17" s="234" t="e">
        <f t="shared" si="1"/>
        <v>#DIV/0!</v>
      </c>
      <c r="H17" s="148"/>
    </row>
    <row r="18" spans="1:8" ht="26.25" customHeight="1">
      <c r="A18" s="155" t="s">
        <v>424</v>
      </c>
      <c r="B18" s="149"/>
      <c r="C18" s="56"/>
      <c r="D18" s="124"/>
      <c r="E18" s="150">
        <v>32.799999999999997</v>
      </c>
      <c r="F18" s="150">
        <f t="shared" si="0"/>
        <v>32.799999999999997</v>
      </c>
      <c r="G18" s="234" t="e">
        <f t="shared" si="1"/>
        <v>#DIV/0!</v>
      </c>
      <c r="H18" s="148"/>
    </row>
    <row r="19" spans="1:8" ht="26.25" customHeight="1">
      <c r="A19" s="155" t="s">
        <v>425</v>
      </c>
      <c r="B19" s="149"/>
      <c r="C19" s="56"/>
      <c r="D19" s="124"/>
      <c r="E19" s="150">
        <v>13</v>
      </c>
      <c r="F19" s="150">
        <f t="shared" si="0"/>
        <v>13</v>
      </c>
      <c r="G19" s="234" t="e">
        <f t="shared" si="1"/>
        <v>#DIV/0!</v>
      </c>
      <c r="H19" s="148"/>
    </row>
    <row r="20" spans="1:8" ht="26.25" customHeight="1">
      <c r="A20" s="155" t="s">
        <v>426</v>
      </c>
      <c r="B20" s="149"/>
      <c r="C20" s="56"/>
      <c r="D20" s="124"/>
      <c r="E20" s="150">
        <v>47.3</v>
      </c>
      <c r="F20" s="150">
        <f t="shared" si="0"/>
        <v>47.3</v>
      </c>
      <c r="G20" s="234" t="e">
        <f t="shared" si="1"/>
        <v>#DIV/0!</v>
      </c>
      <c r="H20" s="148"/>
    </row>
    <row r="21" spans="1:8" ht="26.25" customHeight="1">
      <c r="A21" s="155" t="s">
        <v>484</v>
      </c>
      <c r="B21" s="149"/>
      <c r="C21" s="56"/>
      <c r="D21" s="124"/>
      <c r="E21" s="150">
        <v>16.899999999999999</v>
      </c>
      <c r="F21" s="150">
        <f t="shared" si="0"/>
        <v>16.899999999999999</v>
      </c>
      <c r="G21" s="234" t="e">
        <f t="shared" si="1"/>
        <v>#DIV/0!</v>
      </c>
      <c r="H21" s="148"/>
    </row>
    <row r="22" spans="1:8" ht="26.25" customHeight="1">
      <c r="A22" s="155" t="s">
        <v>485</v>
      </c>
      <c r="B22" s="149"/>
      <c r="C22" s="56"/>
      <c r="D22" s="124"/>
      <c r="E22" s="150">
        <v>17.2</v>
      </c>
      <c r="F22" s="150">
        <f t="shared" si="0"/>
        <v>17.2</v>
      </c>
      <c r="G22" s="234" t="e">
        <f t="shared" si="1"/>
        <v>#DIV/0!</v>
      </c>
      <c r="H22" s="148"/>
    </row>
    <row r="23" spans="1:8" ht="37.5">
      <c r="A23" s="152" t="s">
        <v>7</v>
      </c>
      <c r="B23" s="156">
        <v>4030</v>
      </c>
      <c r="C23" s="127">
        <v>488.9</v>
      </c>
      <c r="D23" s="127">
        <v>585.4</v>
      </c>
      <c r="E23" s="151">
        <v>138</v>
      </c>
      <c r="F23" s="151">
        <f t="shared" ref="F23" si="2">E23-D23</f>
        <v>-447.4</v>
      </c>
      <c r="G23" s="235">
        <f t="shared" ref="G23" si="3">(E23/D23)*100</f>
        <v>23.573624871882473</v>
      </c>
      <c r="H23" s="157"/>
    </row>
    <row r="24" spans="1:8" hidden="1">
      <c r="A24" s="154" t="s">
        <v>323</v>
      </c>
      <c r="B24" s="158"/>
      <c r="C24" s="124">
        <v>5</v>
      </c>
      <c r="D24" s="124"/>
      <c r="E24" s="150"/>
      <c r="F24" s="150">
        <f>E24-D24</f>
        <v>0</v>
      </c>
      <c r="G24" s="57" t="e">
        <f>(E24/D24)*100</f>
        <v>#DIV/0!</v>
      </c>
      <c r="H24" s="157"/>
    </row>
    <row r="25" spans="1:8" hidden="1">
      <c r="A25" s="154" t="s">
        <v>324</v>
      </c>
      <c r="B25" s="158"/>
      <c r="C25" s="124"/>
      <c r="D25" s="124"/>
      <c r="E25" s="150"/>
      <c r="F25" s="150">
        <f t="shared" ref="F25:F83" si="4">E25-D25</f>
        <v>0</v>
      </c>
      <c r="G25" s="57" t="e">
        <f t="shared" ref="G25:G83" si="5">(E25/D25)*100</f>
        <v>#DIV/0!</v>
      </c>
      <c r="H25" s="157"/>
    </row>
    <row r="26" spans="1:8" hidden="1">
      <c r="A26" s="154" t="s">
        <v>325</v>
      </c>
      <c r="B26" s="158"/>
      <c r="C26" s="124">
        <v>5</v>
      </c>
      <c r="D26" s="124"/>
      <c r="E26" s="150"/>
      <c r="F26" s="150">
        <f t="shared" si="4"/>
        <v>0</v>
      </c>
      <c r="G26" s="57" t="e">
        <f t="shared" si="5"/>
        <v>#DIV/0!</v>
      </c>
      <c r="H26" s="157"/>
    </row>
    <row r="27" spans="1:8" hidden="1">
      <c r="A27" s="154" t="s">
        <v>326</v>
      </c>
      <c r="B27" s="158"/>
      <c r="C27" s="124"/>
      <c r="D27" s="124"/>
      <c r="E27" s="150"/>
      <c r="F27" s="150">
        <f t="shared" si="4"/>
        <v>0</v>
      </c>
      <c r="G27" s="57" t="e">
        <f t="shared" si="5"/>
        <v>#DIV/0!</v>
      </c>
      <c r="H27" s="157"/>
    </row>
    <row r="28" spans="1:8" hidden="1">
      <c r="A28" s="60" t="s">
        <v>327</v>
      </c>
      <c r="B28" s="158"/>
      <c r="C28" s="124">
        <v>5.0999999999999996</v>
      </c>
      <c r="D28" s="124"/>
      <c r="E28" s="150"/>
      <c r="F28" s="150">
        <f t="shared" si="4"/>
        <v>0</v>
      </c>
      <c r="G28" s="57" t="e">
        <f t="shared" si="5"/>
        <v>#DIV/0!</v>
      </c>
      <c r="H28" s="157"/>
    </row>
    <row r="29" spans="1:8" hidden="1">
      <c r="A29" s="60" t="s">
        <v>328</v>
      </c>
      <c r="B29" s="158"/>
      <c r="C29" s="124"/>
      <c r="D29" s="124"/>
      <c r="E29" s="150"/>
      <c r="F29" s="150">
        <f t="shared" si="4"/>
        <v>0</v>
      </c>
      <c r="G29" s="57" t="e">
        <f t="shared" si="5"/>
        <v>#DIV/0!</v>
      </c>
      <c r="H29" s="157"/>
    </row>
    <row r="30" spans="1:8" hidden="1">
      <c r="A30" s="60" t="s">
        <v>329</v>
      </c>
      <c r="B30" s="158"/>
      <c r="C30" s="124">
        <v>0.2</v>
      </c>
      <c r="D30" s="124"/>
      <c r="E30" s="150"/>
      <c r="F30" s="150">
        <f t="shared" si="4"/>
        <v>0</v>
      </c>
      <c r="G30" s="57" t="e">
        <f t="shared" si="5"/>
        <v>#DIV/0!</v>
      </c>
      <c r="H30" s="157"/>
    </row>
    <row r="31" spans="1:8" hidden="1">
      <c r="A31" s="60" t="s">
        <v>330</v>
      </c>
      <c r="B31" s="158"/>
      <c r="C31" s="124">
        <v>6.4</v>
      </c>
      <c r="D31" s="124"/>
      <c r="E31" s="150"/>
      <c r="F31" s="150">
        <f t="shared" si="4"/>
        <v>0</v>
      </c>
      <c r="G31" s="59" t="e">
        <f t="shared" si="5"/>
        <v>#DIV/0!</v>
      </c>
      <c r="H31" s="157"/>
    </row>
    <row r="32" spans="1:8" hidden="1">
      <c r="A32" s="60" t="s">
        <v>330</v>
      </c>
      <c r="B32" s="158"/>
      <c r="C32" s="124"/>
      <c r="D32" s="124"/>
      <c r="E32" s="150"/>
      <c r="F32" s="150">
        <f t="shared" si="4"/>
        <v>0</v>
      </c>
      <c r="G32" s="59" t="e">
        <f t="shared" si="5"/>
        <v>#DIV/0!</v>
      </c>
      <c r="H32" s="157"/>
    </row>
    <row r="33" spans="1:8" hidden="1">
      <c r="A33" s="60" t="s">
        <v>331</v>
      </c>
      <c r="B33" s="158"/>
      <c r="C33" s="124">
        <v>1.6</v>
      </c>
      <c r="D33" s="124"/>
      <c r="E33" s="150"/>
      <c r="F33" s="150">
        <f t="shared" si="4"/>
        <v>0</v>
      </c>
      <c r="G33" s="59" t="e">
        <f t="shared" si="5"/>
        <v>#DIV/0!</v>
      </c>
      <c r="H33" s="157"/>
    </row>
    <row r="34" spans="1:8" hidden="1">
      <c r="A34" s="60" t="s">
        <v>332</v>
      </c>
      <c r="B34" s="158"/>
      <c r="C34" s="124">
        <v>14</v>
      </c>
      <c r="D34" s="124"/>
      <c r="E34" s="150"/>
      <c r="F34" s="150">
        <f t="shared" si="4"/>
        <v>0</v>
      </c>
      <c r="G34" s="59" t="e">
        <f t="shared" si="5"/>
        <v>#DIV/0!</v>
      </c>
      <c r="H34" s="157"/>
    </row>
    <row r="35" spans="1:8" ht="37.5" hidden="1">
      <c r="A35" s="60" t="s">
        <v>333</v>
      </c>
      <c r="B35" s="158"/>
      <c r="C35" s="124">
        <v>20</v>
      </c>
      <c r="D35" s="124"/>
      <c r="E35" s="150"/>
      <c r="F35" s="150">
        <f t="shared" si="4"/>
        <v>0</v>
      </c>
      <c r="G35" s="59" t="e">
        <f t="shared" si="5"/>
        <v>#DIV/0!</v>
      </c>
      <c r="H35" s="157"/>
    </row>
    <row r="36" spans="1:8" hidden="1">
      <c r="A36" s="60" t="s">
        <v>334</v>
      </c>
      <c r="B36" s="158"/>
      <c r="C36" s="124">
        <v>0.3</v>
      </c>
      <c r="D36" s="124"/>
      <c r="E36" s="150"/>
      <c r="F36" s="150">
        <f t="shared" si="4"/>
        <v>0</v>
      </c>
      <c r="G36" s="59" t="e">
        <f t="shared" si="5"/>
        <v>#DIV/0!</v>
      </c>
      <c r="H36" s="157"/>
    </row>
    <row r="37" spans="1:8" hidden="1">
      <c r="A37" s="60" t="s">
        <v>335</v>
      </c>
      <c r="B37" s="158"/>
      <c r="C37" s="124">
        <v>2.5</v>
      </c>
      <c r="D37" s="124"/>
      <c r="E37" s="150"/>
      <c r="F37" s="150">
        <f t="shared" si="4"/>
        <v>0</v>
      </c>
      <c r="G37" s="59" t="e">
        <f t="shared" si="5"/>
        <v>#DIV/0!</v>
      </c>
      <c r="H37" s="157"/>
    </row>
    <row r="38" spans="1:8" hidden="1">
      <c r="A38" s="60" t="s">
        <v>336</v>
      </c>
      <c r="B38" s="158"/>
      <c r="C38" s="124">
        <v>4.0999999999999996</v>
      </c>
      <c r="D38" s="124"/>
      <c r="E38" s="150"/>
      <c r="F38" s="150">
        <f t="shared" si="4"/>
        <v>0</v>
      </c>
      <c r="G38" s="59" t="e">
        <f t="shared" si="5"/>
        <v>#DIV/0!</v>
      </c>
      <c r="H38" s="157"/>
    </row>
    <row r="39" spans="1:8" hidden="1">
      <c r="A39" s="60" t="s">
        <v>337</v>
      </c>
      <c r="B39" s="158"/>
      <c r="C39" s="124">
        <v>21.7</v>
      </c>
      <c r="D39" s="124"/>
      <c r="E39" s="150"/>
      <c r="F39" s="150">
        <f t="shared" si="4"/>
        <v>0</v>
      </c>
      <c r="G39" s="59" t="e">
        <f t="shared" si="5"/>
        <v>#DIV/0!</v>
      </c>
      <c r="H39" s="157"/>
    </row>
    <row r="40" spans="1:8" ht="37.5" hidden="1">
      <c r="A40" s="60" t="s">
        <v>338</v>
      </c>
      <c r="B40" s="158"/>
      <c r="C40" s="124">
        <v>20.7</v>
      </c>
      <c r="D40" s="124"/>
      <c r="E40" s="150"/>
      <c r="F40" s="150">
        <f t="shared" si="4"/>
        <v>0</v>
      </c>
      <c r="G40" s="59" t="e">
        <f t="shared" si="5"/>
        <v>#DIV/0!</v>
      </c>
      <c r="H40" s="157"/>
    </row>
    <row r="41" spans="1:8" hidden="1">
      <c r="A41" s="60" t="s">
        <v>339</v>
      </c>
      <c r="B41" s="158"/>
      <c r="C41" s="124">
        <v>17.399999999999999</v>
      </c>
      <c r="D41" s="124"/>
      <c r="E41" s="150"/>
      <c r="F41" s="150">
        <f t="shared" si="4"/>
        <v>0</v>
      </c>
      <c r="G41" s="59" t="e">
        <f t="shared" si="5"/>
        <v>#DIV/0!</v>
      </c>
      <c r="H41" s="157"/>
    </row>
    <row r="42" spans="1:8" hidden="1">
      <c r="A42" s="60" t="s">
        <v>340</v>
      </c>
      <c r="B42" s="158"/>
      <c r="C42" s="124">
        <v>49.5</v>
      </c>
      <c r="D42" s="124"/>
      <c r="E42" s="150"/>
      <c r="F42" s="150">
        <f t="shared" si="4"/>
        <v>0</v>
      </c>
      <c r="G42" s="59" t="e">
        <f t="shared" si="5"/>
        <v>#DIV/0!</v>
      </c>
      <c r="H42" s="157"/>
    </row>
    <row r="43" spans="1:8" hidden="1">
      <c r="A43" s="60" t="s">
        <v>341</v>
      </c>
      <c r="B43" s="158"/>
      <c r="C43" s="124">
        <v>23.6</v>
      </c>
      <c r="D43" s="124"/>
      <c r="E43" s="150"/>
      <c r="F43" s="150">
        <f t="shared" si="4"/>
        <v>0</v>
      </c>
      <c r="G43" s="59" t="e">
        <f t="shared" si="5"/>
        <v>#DIV/0!</v>
      </c>
      <c r="H43" s="157"/>
    </row>
    <row r="44" spans="1:8" hidden="1">
      <c r="A44" s="60" t="s">
        <v>342</v>
      </c>
      <c r="B44" s="158"/>
      <c r="C44" s="124">
        <v>33.6</v>
      </c>
      <c r="D44" s="124"/>
      <c r="E44" s="150"/>
      <c r="F44" s="150">
        <f t="shared" si="4"/>
        <v>0</v>
      </c>
      <c r="G44" s="59" t="e">
        <f t="shared" si="5"/>
        <v>#DIV/0!</v>
      </c>
      <c r="H44" s="157"/>
    </row>
    <row r="45" spans="1:8" hidden="1">
      <c r="A45" s="60" t="s">
        <v>343</v>
      </c>
      <c r="B45" s="158"/>
      <c r="C45" s="124">
        <v>13.1</v>
      </c>
      <c r="D45" s="124"/>
      <c r="E45" s="150"/>
      <c r="F45" s="150">
        <f t="shared" si="4"/>
        <v>0</v>
      </c>
      <c r="G45" s="59" t="e">
        <f t="shared" si="5"/>
        <v>#DIV/0!</v>
      </c>
      <c r="H45" s="157"/>
    </row>
    <row r="46" spans="1:8" hidden="1">
      <c r="A46" s="60" t="s">
        <v>344</v>
      </c>
      <c r="B46" s="158"/>
      <c r="C46" s="124">
        <v>92</v>
      </c>
      <c r="D46" s="124"/>
      <c r="E46" s="150"/>
      <c r="F46" s="150">
        <f t="shared" si="4"/>
        <v>0</v>
      </c>
      <c r="G46" s="59" t="e">
        <f t="shared" si="5"/>
        <v>#DIV/0!</v>
      </c>
      <c r="H46" s="157"/>
    </row>
    <row r="47" spans="1:8" hidden="1">
      <c r="A47" s="60" t="s">
        <v>345</v>
      </c>
      <c r="B47" s="158"/>
      <c r="C47" s="124">
        <v>11.3</v>
      </c>
      <c r="D47" s="124"/>
      <c r="E47" s="150"/>
      <c r="F47" s="150">
        <f t="shared" si="4"/>
        <v>0</v>
      </c>
      <c r="G47" s="59" t="e">
        <f t="shared" si="5"/>
        <v>#DIV/0!</v>
      </c>
      <c r="H47" s="157"/>
    </row>
    <row r="48" spans="1:8" hidden="1">
      <c r="A48" s="60" t="s">
        <v>346</v>
      </c>
      <c r="B48" s="158"/>
      <c r="C48" s="124">
        <v>6</v>
      </c>
      <c r="D48" s="124"/>
      <c r="E48" s="150"/>
      <c r="F48" s="150">
        <f t="shared" si="4"/>
        <v>0</v>
      </c>
      <c r="G48" s="59" t="e">
        <f t="shared" si="5"/>
        <v>#DIV/0!</v>
      </c>
      <c r="H48" s="157"/>
    </row>
    <row r="49" spans="1:8" ht="37.5" hidden="1">
      <c r="A49" s="60" t="s">
        <v>347</v>
      </c>
      <c r="B49" s="158"/>
      <c r="C49" s="124">
        <v>0.7</v>
      </c>
      <c r="D49" s="124"/>
      <c r="E49" s="150"/>
      <c r="F49" s="150">
        <f t="shared" si="4"/>
        <v>0</v>
      </c>
      <c r="G49" s="59" t="e">
        <f t="shared" si="5"/>
        <v>#DIV/0!</v>
      </c>
      <c r="H49" s="157"/>
    </row>
    <row r="50" spans="1:8" hidden="1">
      <c r="A50" s="60" t="s">
        <v>348</v>
      </c>
      <c r="B50" s="158"/>
      <c r="C50" s="124">
        <v>6.8</v>
      </c>
      <c r="D50" s="124"/>
      <c r="E50" s="150"/>
      <c r="F50" s="150">
        <f t="shared" si="4"/>
        <v>0</v>
      </c>
      <c r="G50" s="59" t="e">
        <f t="shared" si="5"/>
        <v>#DIV/0!</v>
      </c>
      <c r="H50" s="157"/>
    </row>
    <row r="51" spans="1:8" hidden="1">
      <c r="A51" s="60" t="s">
        <v>349</v>
      </c>
      <c r="B51" s="158"/>
      <c r="C51" s="124">
        <v>5.3</v>
      </c>
      <c r="D51" s="124"/>
      <c r="E51" s="150"/>
      <c r="F51" s="150">
        <f t="shared" si="4"/>
        <v>0</v>
      </c>
      <c r="G51" s="59" t="e">
        <f t="shared" si="5"/>
        <v>#DIV/0!</v>
      </c>
      <c r="H51" s="157"/>
    </row>
    <row r="52" spans="1:8" hidden="1">
      <c r="A52" s="60" t="s">
        <v>350</v>
      </c>
      <c r="B52" s="158"/>
      <c r="C52" s="124">
        <v>50</v>
      </c>
      <c r="D52" s="124"/>
      <c r="E52" s="150"/>
      <c r="F52" s="150">
        <f t="shared" si="4"/>
        <v>0</v>
      </c>
      <c r="G52" s="59" t="e">
        <f t="shared" si="5"/>
        <v>#DIV/0!</v>
      </c>
      <c r="H52" s="157"/>
    </row>
    <row r="53" spans="1:8" hidden="1">
      <c r="A53" s="60" t="s">
        <v>351</v>
      </c>
      <c r="B53" s="158"/>
      <c r="C53" s="124">
        <v>4.8</v>
      </c>
      <c r="D53" s="124"/>
      <c r="E53" s="150"/>
      <c r="F53" s="150">
        <f t="shared" si="4"/>
        <v>0</v>
      </c>
      <c r="G53" s="59" t="e">
        <f t="shared" si="5"/>
        <v>#DIV/0!</v>
      </c>
      <c r="H53" s="157"/>
    </row>
    <row r="54" spans="1:8" hidden="1">
      <c r="A54" s="60" t="s">
        <v>352</v>
      </c>
      <c r="B54" s="158"/>
      <c r="C54" s="124">
        <v>19.2</v>
      </c>
      <c r="D54" s="124"/>
      <c r="E54" s="150"/>
      <c r="F54" s="150">
        <f t="shared" si="4"/>
        <v>0</v>
      </c>
      <c r="G54" s="59" t="e">
        <f t="shared" si="5"/>
        <v>#DIV/0!</v>
      </c>
      <c r="H54" s="157"/>
    </row>
    <row r="55" spans="1:8" hidden="1">
      <c r="A55" s="60" t="s">
        <v>417</v>
      </c>
      <c r="B55" s="158"/>
      <c r="C55" s="124">
        <v>16.7</v>
      </c>
      <c r="D55" s="124"/>
      <c r="E55" s="150"/>
      <c r="F55" s="150">
        <f t="shared" si="4"/>
        <v>0</v>
      </c>
      <c r="G55" s="59" t="e">
        <f t="shared" si="5"/>
        <v>#DIV/0!</v>
      </c>
      <c r="H55" s="157"/>
    </row>
    <row r="56" spans="1:8" hidden="1">
      <c r="A56" s="58" t="s">
        <v>353</v>
      </c>
      <c r="B56" s="158"/>
      <c r="C56" s="124">
        <v>0.3</v>
      </c>
      <c r="D56" s="124"/>
      <c r="E56" s="150"/>
      <c r="F56" s="150">
        <f t="shared" si="4"/>
        <v>0</v>
      </c>
      <c r="G56" s="59" t="e">
        <f t="shared" si="5"/>
        <v>#DIV/0!</v>
      </c>
      <c r="H56" s="157"/>
    </row>
    <row r="57" spans="1:8" hidden="1">
      <c r="A57" s="100" t="s">
        <v>354</v>
      </c>
      <c r="B57" s="65"/>
      <c r="C57" s="280"/>
      <c r="D57" s="280"/>
      <c r="E57" s="159"/>
      <c r="F57" s="150">
        <f t="shared" si="4"/>
        <v>0</v>
      </c>
      <c r="G57" s="59" t="e">
        <f t="shared" si="5"/>
        <v>#DIV/0!</v>
      </c>
      <c r="H57" s="157"/>
    </row>
    <row r="58" spans="1:8" hidden="1">
      <c r="A58" s="100" t="s">
        <v>355</v>
      </c>
      <c r="B58" s="65"/>
      <c r="C58" s="280"/>
      <c r="D58" s="280"/>
      <c r="E58" s="159"/>
      <c r="F58" s="150">
        <f t="shared" si="4"/>
        <v>0</v>
      </c>
      <c r="G58" s="59" t="e">
        <f t="shared" si="5"/>
        <v>#DIV/0!</v>
      </c>
      <c r="H58" s="157"/>
    </row>
    <row r="59" spans="1:8" hidden="1">
      <c r="A59" s="100" t="s">
        <v>356</v>
      </c>
      <c r="B59" s="65"/>
      <c r="C59" s="281"/>
      <c r="D59" s="281"/>
      <c r="E59" s="160"/>
      <c r="F59" s="150">
        <f t="shared" si="4"/>
        <v>0</v>
      </c>
      <c r="G59" s="59" t="e">
        <f t="shared" si="5"/>
        <v>#DIV/0!</v>
      </c>
      <c r="H59" s="157"/>
    </row>
    <row r="60" spans="1:8" hidden="1">
      <c r="A60" s="100" t="s">
        <v>357</v>
      </c>
      <c r="B60" s="65"/>
      <c r="C60" s="280"/>
      <c r="D60" s="280"/>
      <c r="E60" s="65"/>
      <c r="F60" s="150">
        <f t="shared" si="4"/>
        <v>0</v>
      </c>
      <c r="G60" s="59" t="e">
        <f t="shared" si="5"/>
        <v>#DIV/0!</v>
      </c>
      <c r="H60" s="157"/>
    </row>
    <row r="61" spans="1:8" ht="37.5" hidden="1">
      <c r="A61" s="161" t="s">
        <v>358</v>
      </c>
      <c r="B61" s="65"/>
      <c r="C61" s="280"/>
      <c r="D61" s="280"/>
      <c r="E61" s="162"/>
      <c r="F61" s="150">
        <f t="shared" si="4"/>
        <v>0</v>
      </c>
      <c r="G61" s="59" t="e">
        <f t="shared" si="5"/>
        <v>#DIV/0!</v>
      </c>
      <c r="H61" s="157"/>
    </row>
    <row r="62" spans="1:8" hidden="1">
      <c r="A62" s="161" t="s">
        <v>359</v>
      </c>
      <c r="B62" s="65"/>
      <c r="C62" s="280"/>
      <c r="D62" s="280"/>
      <c r="E62" s="162"/>
      <c r="F62" s="150">
        <f t="shared" si="4"/>
        <v>0</v>
      </c>
      <c r="G62" s="59" t="e">
        <f t="shared" si="5"/>
        <v>#DIV/0!</v>
      </c>
      <c r="H62" s="157"/>
    </row>
    <row r="63" spans="1:8" hidden="1">
      <c r="A63" s="161" t="s">
        <v>360</v>
      </c>
      <c r="B63" s="65"/>
      <c r="C63" s="280"/>
      <c r="D63" s="280"/>
      <c r="E63" s="162"/>
      <c r="F63" s="150">
        <f t="shared" si="4"/>
        <v>0</v>
      </c>
      <c r="G63" s="59" t="e">
        <f t="shared" si="5"/>
        <v>#DIV/0!</v>
      </c>
      <c r="H63" s="157"/>
    </row>
    <row r="64" spans="1:8" hidden="1">
      <c r="A64" s="161" t="s">
        <v>361</v>
      </c>
      <c r="B64" s="65"/>
      <c r="C64" s="280"/>
      <c r="D64" s="280"/>
      <c r="E64" s="162"/>
      <c r="F64" s="150">
        <f t="shared" si="4"/>
        <v>0</v>
      </c>
      <c r="G64" s="59" t="e">
        <f t="shared" si="5"/>
        <v>#DIV/0!</v>
      </c>
      <c r="H64" s="157"/>
    </row>
    <row r="65" spans="1:8" hidden="1">
      <c r="A65" s="161" t="s">
        <v>362</v>
      </c>
      <c r="B65" s="65"/>
      <c r="C65" s="280"/>
      <c r="D65" s="280"/>
      <c r="E65" s="162"/>
      <c r="F65" s="150">
        <f t="shared" si="4"/>
        <v>0</v>
      </c>
      <c r="G65" s="59" t="e">
        <f t="shared" si="5"/>
        <v>#DIV/0!</v>
      </c>
      <c r="H65" s="157"/>
    </row>
    <row r="66" spans="1:8" hidden="1">
      <c r="A66" s="161" t="s">
        <v>363</v>
      </c>
      <c r="B66" s="65"/>
      <c r="C66" s="280"/>
      <c r="D66" s="280"/>
      <c r="E66" s="162"/>
      <c r="F66" s="150">
        <f t="shared" si="4"/>
        <v>0</v>
      </c>
      <c r="G66" s="59" t="e">
        <f t="shared" si="5"/>
        <v>#DIV/0!</v>
      </c>
      <c r="H66" s="157"/>
    </row>
    <row r="67" spans="1:8" ht="37.5" hidden="1">
      <c r="A67" s="161" t="s">
        <v>364</v>
      </c>
      <c r="B67" s="65"/>
      <c r="C67" s="280"/>
      <c r="D67" s="280"/>
      <c r="E67" s="162"/>
      <c r="F67" s="150">
        <f t="shared" si="4"/>
        <v>0</v>
      </c>
      <c r="G67" s="59" t="e">
        <f t="shared" si="5"/>
        <v>#DIV/0!</v>
      </c>
      <c r="H67" s="157"/>
    </row>
    <row r="68" spans="1:8" ht="37.5" hidden="1">
      <c r="A68" s="161" t="s">
        <v>365</v>
      </c>
      <c r="B68" s="65"/>
      <c r="C68" s="280"/>
      <c r="D68" s="280"/>
      <c r="E68" s="162"/>
      <c r="F68" s="150">
        <f t="shared" si="4"/>
        <v>0</v>
      </c>
      <c r="G68" s="59" t="e">
        <f t="shared" si="5"/>
        <v>#DIV/0!</v>
      </c>
      <c r="H68" s="157"/>
    </row>
    <row r="69" spans="1:8" hidden="1">
      <c r="A69" s="161" t="s">
        <v>366</v>
      </c>
      <c r="B69" s="65"/>
      <c r="C69" s="280"/>
      <c r="D69" s="280"/>
      <c r="E69" s="162"/>
      <c r="F69" s="150">
        <f t="shared" si="4"/>
        <v>0</v>
      </c>
      <c r="G69" s="59" t="e">
        <f t="shared" si="5"/>
        <v>#DIV/0!</v>
      </c>
      <c r="H69" s="157"/>
    </row>
    <row r="70" spans="1:8" hidden="1">
      <c r="A70" s="161" t="s">
        <v>367</v>
      </c>
      <c r="B70" s="65"/>
      <c r="C70" s="280"/>
      <c r="D70" s="280"/>
      <c r="E70" s="162"/>
      <c r="F70" s="150">
        <f t="shared" si="4"/>
        <v>0</v>
      </c>
      <c r="G70" s="59" t="e">
        <f t="shared" si="5"/>
        <v>#DIV/0!</v>
      </c>
      <c r="H70" s="157"/>
    </row>
    <row r="71" spans="1:8" hidden="1">
      <c r="A71" s="161" t="s">
        <v>368</v>
      </c>
      <c r="B71" s="65"/>
      <c r="C71" s="280"/>
      <c r="D71" s="280"/>
      <c r="E71" s="162"/>
      <c r="F71" s="150">
        <f t="shared" si="4"/>
        <v>0</v>
      </c>
      <c r="G71" s="59" t="e">
        <f t="shared" si="5"/>
        <v>#DIV/0!</v>
      </c>
      <c r="H71" s="157"/>
    </row>
    <row r="72" spans="1:8" hidden="1">
      <c r="A72" s="161" t="s">
        <v>369</v>
      </c>
      <c r="B72" s="65"/>
      <c r="C72" s="280"/>
      <c r="D72" s="280"/>
      <c r="E72" s="162"/>
      <c r="F72" s="150">
        <f t="shared" si="4"/>
        <v>0</v>
      </c>
      <c r="G72" s="59" t="e">
        <f t="shared" si="5"/>
        <v>#DIV/0!</v>
      </c>
      <c r="H72" s="157"/>
    </row>
    <row r="73" spans="1:8" ht="37.5" hidden="1">
      <c r="A73" s="161" t="s">
        <v>370</v>
      </c>
      <c r="B73" s="65"/>
      <c r="C73" s="280"/>
      <c r="D73" s="280"/>
      <c r="E73" s="162"/>
      <c r="F73" s="150">
        <f t="shared" si="4"/>
        <v>0</v>
      </c>
      <c r="G73" s="59" t="e">
        <f t="shared" si="5"/>
        <v>#DIV/0!</v>
      </c>
      <c r="H73" s="157"/>
    </row>
    <row r="74" spans="1:8" hidden="1">
      <c r="A74" s="161" t="s">
        <v>371</v>
      </c>
      <c r="B74" s="65"/>
      <c r="C74" s="280"/>
      <c r="D74" s="280"/>
      <c r="E74" s="162"/>
      <c r="F74" s="150">
        <f t="shared" si="4"/>
        <v>0</v>
      </c>
      <c r="G74" s="59" t="e">
        <f t="shared" si="5"/>
        <v>#DIV/0!</v>
      </c>
      <c r="H74" s="157"/>
    </row>
    <row r="75" spans="1:8" hidden="1">
      <c r="A75" s="161" t="s">
        <v>372</v>
      </c>
      <c r="B75" s="65"/>
      <c r="C75" s="280"/>
      <c r="D75" s="280"/>
      <c r="E75" s="162"/>
      <c r="F75" s="150">
        <f t="shared" si="4"/>
        <v>0</v>
      </c>
      <c r="G75" s="59" t="e">
        <f t="shared" si="5"/>
        <v>#DIV/0!</v>
      </c>
      <c r="H75" s="157"/>
    </row>
    <row r="76" spans="1:8" ht="37.5" hidden="1">
      <c r="A76" s="66" t="s">
        <v>373</v>
      </c>
      <c r="B76" s="65"/>
      <c r="C76" s="280"/>
      <c r="D76" s="280"/>
      <c r="E76" s="162"/>
      <c r="F76" s="150">
        <f t="shared" si="4"/>
        <v>0</v>
      </c>
      <c r="G76" s="59" t="e">
        <f t="shared" si="5"/>
        <v>#DIV/0!</v>
      </c>
      <c r="H76" s="157"/>
    </row>
    <row r="77" spans="1:8" hidden="1">
      <c r="A77" s="66" t="s">
        <v>374</v>
      </c>
      <c r="B77" s="65"/>
      <c r="C77" s="280"/>
      <c r="D77" s="280"/>
      <c r="E77" s="65"/>
      <c r="F77" s="150">
        <f t="shared" si="4"/>
        <v>0</v>
      </c>
      <c r="G77" s="59" t="e">
        <f t="shared" si="5"/>
        <v>#DIV/0!</v>
      </c>
      <c r="H77" s="157"/>
    </row>
    <row r="78" spans="1:8" hidden="1">
      <c r="A78" s="66" t="s">
        <v>375</v>
      </c>
      <c r="B78" s="65"/>
      <c r="C78" s="280"/>
      <c r="D78" s="280"/>
      <c r="E78" s="162"/>
      <c r="F78" s="150">
        <f t="shared" si="4"/>
        <v>0</v>
      </c>
      <c r="G78" s="59" t="e">
        <f t="shared" si="5"/>
        <v>#DIV/0!</v>
      </c>
      <c r="H78" s="157"/>
    </row>
    <row r="79" spans="1:8" hidden="1">
      <c r="A79" s="66" t="s">
        <v>376</v>
      </c>
      <c r="B79" s="65"/>
      <c r="C79" s="280"/>
      <c r="D79" s="280"/>
      <c r="E79" s="162"/>
      <c r="F79" s="150">
        <f t="shared" si="4"/>
        <v>0</v>
      </c>
      <c r="G79" s="59" t="e">
        <f t="shared" si="5"/>
        <v>#DIV/0!</v>
      </c>
      <c r="H79" s="157"/>
    </row>
    <row r="80" spans="1:8" hidden="1">
      <c r="A80" s="66" t="s">
        <v>377</v>
      </c>
      <c r="B80" s="65"/>
      <c r="C80" s="280"/>
      <c r="D80" s="280"/>
      <c r="E80" s="162"/>
      <c r="F80" s="150">
        <f t="shared" si="4"/>
        <v>0</v>
      </c>
      <c r="G80" s="59" t="e">
        <f t="shared" si="5"/>
        <v>#DIV/0!</v>
      </c>
      <c r="H80" s="157"/>
    </row>
    <row r="81" spans="1:8" hidden="1">
      <c r="A81" s="66" t="s">
        <v>378</v>
      </c>
      <c r="B81" s="65"/>
      <c r="C81" s="280"/>
      <c r="D81" s="280"/>
      <c r="E81" s="162"/>
      <c r="F81" s="150">
        <f t="shared" si="4"/>
        <v>0</v>
      </c>
      <c r="G81" s="59" t="e">
        <f t="shared" si="5"/>
        <v>#DIV/0!</v>
      </c>
      <c r="H81" s="157"/>
    </row>
    <row r="82" spans="1:8" hidden="1">
      <c r="A82" s="66" t="s">
        <v>379</v>
      </c>
      <c r="B82" s="65"/>
      <c r="C82" s="280"/>
      <c r="D82" s="280"/>
      <c r="E82" s="162"/>
      <c r="F82" s="150">
        <f t="shared" si="4"/>
        <v>0</v>
      </c>
      <c r="G82" s="59" t="e">
        <f t="shared" si="5"/>
        <v>#DIV/0!</v>
      </c>
      <c r="H82" s="157"/>
    </row>
    <row r="83" spans="1:8" hidden="1">
      <c r="A83" s="66" t="s">
        <v>380</v>
      </c>
      <c r="B83" s="65"/>
      <c r="C83" s="280"/>
      <c r="D83" s="280"/>
      <c r="E83" s="162"/>
      <c r="F83" s="150">
        <f t="shared" si="4"/>
        <v>0</v>
      </c>
      <c r="G83" s="59" t="e">
        <f t="shared" si="5"/>
        <v>#DIV/0!</v>
      </c>
      <c r="H83" s="157"/>
    </row>
    <row r="84" spans="1:8" hidden="1">
      <c r="A84" s="161" t="s">
        <v>381</v>
      </c>
      <c r="B84" s="65"/>
      <c r="C84" s="56"/>
      <c r="D84" s="280"/>
      <c r="E84" s="162"/>
      <c r="F84" s="150"/>
      <c r="G84" s="59"/>
      <c r="H84" s="157"/>
    </row>
    <row r="85" spans="1:8" hidden="1">
      <c r="A85" s="161" t="s">
        <v>382</v>
      </c>
      <c r="B85" s="65"/>
      <c r="C85" s="56"/>
      <c r="D85" s="280"/>
      <c r="E85" s="162"/>
      <c r="F85" s="150"/>
      <c r="G85" s="59"/>
      <c r="H85" s="157"/>
    </row>
    <row r="86" spans="1:8" hidden="1">
      <c r="A86" s="161" t="s">
        <v>383</v>
      </c>
      <c r="B86" s="65"/>
      <c r="C86" s="56"/>
      <c r="D86" s="280"/>
      <c r="E86" s="162"/>
      <c r="F86" s="150"/>
      <c r="G86" s="59"/>
      <c r="H86" s="157"/>
    </row>
    <row r="87" spans="1:8" hidden="1">
      <c r="A87" s="161" t="s">
        <v>384</v>
      </c>
      <c r="B87" s="65"/>
      <c r="C87" s="56"/>
      <c r="D87" s="280"/>
      <c r="E87" s="162"/>
      <c r="F87" s="150"/>
      <c r="G87" s="59"/>
      <c r="H87" s="157"/>
    </row>
    <row r="88" spans="1:8" hidden="1">
      <c r="A88" s="161" t="s">
        <v>385</v>
      </c>
      <c r="B88" s="65"/>
      <c r="C88" s="56"/>
      <c r="D88" s="280"/>
      <c r="E88" s="162"/>
      <c r="F88" s="150"/>
      <c r="G88" s="59"/>
      <c r="H88" s="157"/>
    </row>
    <row r="89" spans="1:8" hidden="1">
      <c r="A89" s="161" t="s">
        <v>386</v>
      </c>
      <c r="B89" s="65"/>
      <c r="C89" s="56"/>
      <c r="D89" s="280"/>
      <c r="E89" s="162"/>
      <c r="F89" s="150"/>
      <c r="G89" s="59"/>
      <c r="H89" s="157"/>
    </row>
    <row r="90" spans="1:8" hidden="1">
      <c r="A90" s="161" t="s">
        <v>387</v>
      </c>
      <c r="B90" s="65"/>
      <c r="C90" s="56"/>
      <c r="D90" s="280"/>
      <c r="E90" s="162"/>
      <c r="F90" s="150"/>
      <c r="G90" s="59"/>
      <c r="H90" s="157"/>
    </row>
    <row r="91" spans="1:8" hidden="1">
      <c r="A91" s="161" t="s">
        <v>388</v>
      </c>
      <c r="B91" s="65"/>
      <c r="C91" s="56"/>
      <c r="D91" s="280"/>
      <c r="E91" s="162"/>
      <c r="F91" s="150"/>
      <c r="G91" s="59"/>
      <c r="H91" s="157"/>
    </row>
    <row r="92" spans="1:8" hidden="1">
      <c r="A92" s="161" t="s">
        <v>389</v>
      </c>
      <c r="B92" s="65"/>
      <c r="C92" s="56"/>
      <c r="D92" s="280"/>
      <c r="E92" s="162"/>
      <c r="F92" s="150"/>
      <c r="G92" s="59"/>
      <c r="H92" s="157"/>
    </row>
    <row r="93" spans="1:8" hidden="1">
      <c r="A93" s="161" t="s">
        <v>390</v>
      </c>
      <c r="B93" s="65"/>
      <c r="C93" s="56"/>
      <c r="D93" s="280"/>
      <c r="E93" s="162"/>
      <c r="F93" s="150"/>
      <c r="G93" s="59"/>
      <c r="H93" s="157"/>
    </row>
    <row r="94" spans="1:8" ht="37.5">
      <c r="A94" s="152" t="s">
        <v>500</v>
      </c>
      <c r="B94" s="153">
        <v>4040</v>
      </c>
      <c r="C94" s="127">
        <v>698.8</v>
      </c>
      <c r="D94" s="127">
        <f>D95+D96</f>
        <v>395</v>
      </c>
      <c r="E94" s="151">
        <f>E95+E96</f>
        <v>28</v>
      </c>
      <c r="F94" s="151">
        <f t="shared" ref="F94:F99" si="6">E94-D94</f>
        <v>-367</v>
      </c>
      <c r="G94" s="50">
        <f t="shared" ref="G94:G95" si="7">(E94/D94)*100</f>
        <v>7.0886075949367093</v>
      </c>
      <c r="H94" s="148"/>
    </row>
    <row r="95" spans="1:8" ht="56.25">
      <c r="A95" s="61" t="s">
        <v>420</v>
      </c>
      <c r="B95" s="149"/>
      <c r="C95" s="124">
        <v>281.8</v>
      </c>
      <c r="D95" s="124">
        <v>105</v>
      </c>
      <c r="E95" s="150"/>
      <c r="F95" s="150">
        <f t="shared" si="6"/>
        <v>-105</v>
      </c>
      <c r="G95" s="75">
        <f t="shared" si="7"/>
        <v>0</v>
      </c>
      <c r="H95" s="148"/>
    </row>
    <row r="96" spans="1:8" ht="56.25">
      <c r="A96" s="58" t="s">
        <v>421</v>
      </c>
      <c r="B96" s="149"/>
      <c r="C96" s="124">
        <v>417</v>
      </c>
      <c r="D96" s="124">
        <v>290</v>
      </c>
      <c r="E96" s="150">
        <v>28</v>
      </c>
      <c r="F96" s="150">
        <f t="shared" si="6"/>
        <v>-262</v>
      </c>
      <c r="G96" s="57">
        <f>(E96/D96)*100</f>
        <v>9.6551724137931032</v>
      </c>
      <c r="H96" s="148"/>
    </row>
    <row r="97" spans="1:8" ht="23.25" customHeight="1">
      <c r="A97" s="255" t="s">
        <v>471</v>
      </c>
      <c r="B97" s="256">
        <v>4060</v>
      </c>
      <c r="C97" s="124"/>
      <c r="D97" s="127">
        <f>D98+D99</f>
        <v>2700</v>
      </c>
      <c r="E97" s="150"/>
      <c r="F97" s="151">
        <f t="shared" si="6"/>
        <v>-2700</v>
      </c>
      <c r="G97" s="57"/>
      <c r="H97" s="148"/>
    </row>
    <row r="98" spans="1:8" ht="37.5">
      <c r="A98" s="105" t="s">
        <v>497</v>
      </c>
      <c r="B98" s="257"/>
      <c r="C98" s="124"/>
      <c r="D98" s="124">
        <v>1400</v>
      </c>
      <c r="E98" s="150"/>
      <c r="F98" s="150">
        <f t="shared" si="6"/>
        <v>-1400</v>
      </c>
      <c r="G98" s="57"/>
      <c r="H98" s="148"/>
    </row>
    <row r="99" spans="1:8" ht="37.5">
      <c r="A99" s="55" t="s">
        <v>498</v>
      </c>
      <c r="B99" s="54"/>
      <c r="C99" s="124"/>
      <c r="D99" s="124">
        <v>1300</v>
      </c>
      <c r="E99" s="150"/>
      <c r="F99" s="150">
        <f t="shared" si="6"/>
        <v>-1300</v>
      </c>
      <c r="G99" s="57"/>
      <c r="H99" s="148"/>
    </row>
    <row r="100" spans="1:8">
      <c r="A100" s="227"/>
      <c r="B100" s="225"/>
      <c r="C100" s="282"/>
      <c r="D100" s="282"/>
      <c r="E100" s="226"/>
      <c r="F100" s="226"/>
      <c r="G100" s="228"/>
      <c r="H100" s="148"/>
    </row>
    <row r="101" spans="1:8">
      <c r="A101" s="227"/>
      <c r="B101" s="225"/>
      <c r="C101" s="282"/>
      <c r="D101" s="282"/>
      <c r="E101" s="226"/>
      <c r="F101" s="226"/>
      <c r="G101" s="228"/>
      <c r="H101" s="148"/>
    </row>
    <row r="102" spans="1:8" ht="20.25">
      <c r="A102" s="163" t="s">
        <v>320</v>
      </c>
      <c r="B102" s="164"/>
      <c r="C102" s="378"/>
      <c r="D102" s="379"/>
      <c r="E102" s="165"/>
      <c r="F102" s="381" t="s">
        <v>321</v>
      </c>
      <c r="G102" s="381"/>
      <c r="H102" s="229"/>
    </row>
    <row r="103" spans="1:8" ht="20.25">
      <c r="A103" s="224" t="s">
        <v>12</v>
      </c>
      <c r="B103" s="143"/>
      <c r="C103" s="380" t="s">
        <v>13</v>
      </c>
      <c r="D103" s="380"/>
      <c r="E103" s="230"/>
      <c r="F103" s="422" t="s">
        <v>322</v>
      </c>
      <c r="G103" s="422"/>
      <c r="H103" s="422"/>
    </row>
    <row r="104" spans="1:8">
      <c r="A104" s="43"/>
    </row>
    <row r="105" spans="1:8">
      <c r="A105" s="43"/>
    </row>
    <row r="106" spans="1:8">
      <c r="A106" s="43"/>
    </row>
    <row r="107" spans="1:8">
      <c r="A107" s="43"/>
    </row>
    <row r="108" spans="1:8">
      <c r="A108" s="43"/>
    </row>
    <row r="109" spans="1:8">
      <c r="A109" s="43"/>
    </row>
    <row r="110" spans="1:8">
      <c r="A110" s="43"/>
    </row>
    <row r="111" spans="1:8">
      <c r="A111" s="43"/>
    </row>
    <row r="112" spans="1:8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</sheetData>
  <mergeCells count="5">
    <mergeCell ref="C102:D102"/>
    <mergeCell ref="C103:D103"/>
    <mergeCell ref="F103:H103"/>
    <mergeCell ref="A1:F1"/>
    <mergeCell ref="F102:G102"/>
  </mergeCells>
  <pageMargins left="0.39370078740157483" right="0.39370078740157483" top="0.78740157480314965" bottom="0.39370078740157483" header="0.19685039370078741" footer="0.19685039370078741"/>
  <pageSetup paperSize="9" scale="87" fitToHeight="2" orientation="landscape" r:id="rId1"/>
  <rowBreaks count="1" manualBreakCount="1">
    <brk id="2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R51"/>
  <sheetViews>
    <sheetView tabSelected="1" view="pageBreakPreview" topLeftCell="A7" zoomScale="60" zoomScaleNormal="60" workbookViewId="0">
      <selection activeCell="T30" sqref="T30"/>
    </sheetView>
  </sheetViews>
  <sheetFormatPr defaultRowHeight="20.25"/>
  <cols>
    <col min="1" max="1" width="8.28515625" style="169" customWidth="1"/>
    <col min="2" max="2" width="26.140625" style="169" customWidth="1"/>
    <col min="3" max="5" width="11.28515625" style="169" customWidth="1"/>
    <col min="6" max="6" width="10.28515625" style="169" customWidth="1"/>
    <col min="7" max="7" width="15.5703125" style="169" customWidth="1"/>
    <col min="8" max="8" width="16" style="169" customWidth="1"/>
    <col min="9" max="9" width="11" style="169" hidden="1" customWidth="1"/>
    <col min="10" max="10" width="11.140625" style="169" hidden="1" customWidth="1"/>
    <col min="11" max="11" width="3.85546875" style="169" hidden="1" customWidth="1"/>
    <col min="12" max="12" width="17.140625" style="169" customWidth="1"/>
    <col min="13" max="13" width="16.85546875" style="169" customWidth="1"/>
    <col min="14" max="14" width="16.5703125" style="169" customWidth="1"/>
    <col min="15" max="15" width="16.28515625" style="169" customWidth="1"/>
    <col min="16" max="18" width="11" style="169" hidden="1" customWidth="1"/>
    <col min="19" max="19" width="16.42578125" style="169" customWidth="1"/>
    <col min="20" max="20" width="17" style="169" customWidth="1"/>
    <col min="21" max="21" width="16" style="169" hidden="1" customWidth="1"/>
    <col min="22" max="23" width="11" style="169" hidden="1" customWidth="1"/>
    <col min="24" max="24" width="16.42578125" style="169" customWidth="1"/>
    <col min="25" max="25" width="16.140625" style="169" customWidth="1"/>
    <col min="26" max="26" width="16" style="169" customWidth="1"/>
    <col min="27" max="27" width="16.28515625" style="169" customWidth="1"/>
    <col min="28" max="28" width="14.5703125" style="169" customWidth="1"/>
    <col min="29" max="29" width="15.85546875" style="169" customWidth="1"/>
    <col min="30" max="30" width="15.140625" style="169" customWidth="1"/>
    <col min="31" max="31" width="16" style="169" customWidth="1"/>
    <col min="32" max="32" width="16.5703125" style="169" customWidth="1"/>
    <col min="33" max="33" width="9.140625" style="169"/>
    <col min="34" max="34" width="16.28515625" style="169" customWidth="1"/>
    <col min="35" max="35" width="14.85546875" style="169" customWidth="1"/>
    <col min="36" max="36" width="17.42578125" style="169" customWidth="1"/>
    <col min="37" max="256" width="9.140625" style="169"/>
    <col min="257" max="257" width="8.28515625" style="169" customWidth="1"/>
    <col min="258" max="258" width="26.140625" style="169" customWidth="1"/>
    <col min="259" max="261" width="11.28515625" style="169" customWidth="1"/>
    <col min="262" max="262" width="10.28515625" style="169" customWidth="1"/>
    <col min="263" max="263" width="15.5703125" style="169" customWidth="1"/>
    <col min="264" max="264" width="16" style="169" customWidth="1"/>
    <col min="265" max="267" width="0" style="169" hidden="1" customWidth="1"/>
    <col min="268" max="268" width="17.140625" style="169" customWidth="1"/>
    <col min="269" max="269" width="16.85546875" style="169" customWidth="1"/>
    <col min="270" max="270" width="16.5703125" style="169" customWidth="1"/>
    <col min="271" max="271" width="16.28515625" style="169" customWidth="1"/>
    <col min="272" max="274" width="0" style="169" hidden="1" customWidth="1"/>
    <col min="275" max="275" width="16.42578125" style="169" customWidth="1"/>
    <col min="276" max="276" width="17" style="169" customWidth="1"/>
    <col min="277" max="279" width="0" style="169" hidden="1" customWidth="1"/>
    <col min="280" max="280" width="16.42578125" style="169" customWidth="1"/>
    <col min="281" max="281" width="16.140625" style="169" customWidth="1"/>
    <col min="282" max="282" width="16" style="169" customWidth="1"/>
    <col min="283" max="283" width="16.28515625" style="169" customWidth="1"/>
    <col min="284" max="284" width="14.5703125" style="169" customWidth="1"/>
    <col min="285" max="285" width="15.85546875" style="169" customWidth="1"/>
    <col min="286" max="286" width="15.140625" style="169" customWidth="1"/>
    <col min="287" max="287" width="16" style="169" customWidth="1"/>
    <col min="288" max="288" width="16.5703125" style="169" customWidth="1"/>
    <col min="289" max="512" width="9.140625" style="169"/>
    <col min="513" max="513" width="8.28515625" style="169" customWidth="1"/>
    <col min="514" max="514" width="26.140625" style="169" customWidth="1"/>
    <col min="515" max="517" width="11.28515625" style="169" customWidth="1"/>
    <col min="518" max="518" width="10.28515625" style="169" customWidth="1"/>
    <col min="519" max="519" width="15.5703125" style="169" customWidth="1"/>
    <col min="520" max="520" width="16" style="169" customWidth="1"/>
    <col min="521" max="523" width="0" style="169" hidden="1" customWidth="1"/>
    <col min="524" max="524" width="17.140625" style="169" customWidth="1"/>
    <col min="525" max="525" width="16.85546875" style="169" customWidth="1"/>
    <col min="526" max="526" width="16.5703125" style="169" customWidth="1"/>
    <col min="527" max="527" width="16.28515625" style="169" customWidth="1"/>
    <col min="528" max="530" width="0" style="169" hidden="1" customWidth="1"/>
    <col min="531" max="531" width="16.42578125" style="169" customWidth="1"/>
    <col min="532" max="532" width="17" style="169" customWidth="1"/>
    <col min="533" max="535" width="0" style="169" hidden="1" customWidth="1"/>
    <col min="536" max="536" width="16.42578125" style="169" customWidth="1"/>
    <col min="537" max="537" width="16.140625" style="169" customWidth="1"/>
    <col min="538" max="538" width="16" style="169" customWidth="1"/>
    <col min="539" max="539" width="16.28515625" style="169" customWidth="1"/>
    <col min="540" max="540" width="14.5703125" style="169" customWidth="1"/>
    <col min="541" max="541" width="15.85546875" style="169" customWidth="1"/>
    <col min="542" max="542" width="15.140625" style="169" customWidth="1"/>
    <col min="543" max="543" width="16" style="169" customWidth="1"/>
    <col min="544" max="544" width="16.5703125" style="169" customWidth="1"/>
    <col min="545" max="768" width="9.140625" style="169"/>
    <col min="769" max="769" width="8.28515625" style="169" customWidth="1"/>
    <col min="770" max="770" width="26.140625" style="169" customWidth="1"/>
    <col min="771" max="773" width="11.28515625" style="169" customWidth="1"/>
    <col min="774" max="774" width="10.28515625" style="169" customWidth="1"/>
    <col min="775" max="775" width="15.5703125" style="169" customWidth="1"/>
    <col min="776" max="776" width="16" style="169" customWidth="1"/>
    <col min="777" max="779" width="0" style="169" hidden="1" customWidth="1"/>
    <col min="780" max="780" width="17.140625" style="169" customWidth="1"/>
    <col min="781" max="781" width="16.85546875" style="169" customWidth="1"/>
    <col min="782" max="782" width="16.5703125" style="169" customWidth="1"/>
    <col min="783" max="783" width="16.28515625" style="169" customWidth="1"/>
    <col min="784" max="786" width="0" style="169" hidden="1" customWidth="1"/>
    <col min="787" max="787" width="16.42578125" style="169" customWidth="1"/>
    <col min="788" max="788" width="17" style="169" customWidth="1"/>
    <col min="789" max="791" width="0" style="169" hidden="1" customWidth="1"/>
    <col min="792" max="792" width="16.42578125" style="169" customWidth="1"/>
    <col min="793" max="793" width="16.140625" style="169" customWidth="1"/>
    <col min="794" max="794" width="16" style="169" customWidth="1"/>
    <col min="795" max="795" width="16.28515625" style="169" customWidth="1"/>
    <col min="796" max="796" width="14.5703125" style="169" customWidth="1"/>
    <col min="797" max="797" width="15.85546875" style="169" customWidth="1"/>
    <col min="798" max="798" width="15.140625" style="169" customWidth="1"/>
    <col min="799" max="799" width="16" style="169" customWidth="1"/>
    <col min="800" max="800" width="16.5703125" style="169" customWidth="1"/>
    <col min="801" max="1024" width="9.140625" style="169"/>
    <col min="1025" max="1025" width="8.28515625" style="169" customWidth="1"/>
    <col min="1026" max="1026" width="26.140625" style="169" customWidth="1"/>
    <col min="1027" max="1029" width="11.28515625" style="169" customWidth="1"/>
    <col min="1030" max="1030" width="10.28515625" style="169" customWidth="1"/>
    <col min="1031" max="1031" width="15.5703125" style="169" customWidth="1"/>
    <col min="1032" max="1032" width="16" style="169" customWidth="1"/>
    <col min="1033" max="1035" width="0" style="169" hidden="1" customWidth="1"/>
    <col min="1036" max="1036" width="17.140625" style="169" customWidth="1"/>
    <col min="1037" max="1037" width="16.85546875" style="169" customWidth="1"/>
    <col min="1038" max="1038" width="16.5703125" style="169" customWidth="1"/>
    <col min="1039" max="1039" width="16.28515625" style="169" customWidth="1"/>
    <col min="1040" max="1042" width="0" style="169" hidden="1" customWidth="1"/>
    <col min="1043" max="1043" width="16.42578125" style="169" customWidth="1"/>
    <col min="1044" max="1044" width="17" style="169" customWidth="1"/>
    <col min="1045" max="1047" width="0" style="169" hidden="1" customWidth="1"/>
    <col min="1048" max="1048" width="16.42578125" style="169" customWidth="1"/>
    <col min="1049" max="1049" width="16.140625" style="169" customWidth="1"/>
    <col min="1050" max="1050" width="16" style="169" customWidth="1"/>
    <col min="1051" max="1051" width="16.28515625" style="169" customWidth="1"/>
    <col min="1052" max="1052" width="14.5703125" style="169" customWidth="1"/>
    <col min="1053" max="1053" width="15.85546875" style="169" customWidth="1"/>
    <col min="1054" max="1054" width="15.140625" style="169" customWidth="1"/>
    <col min="1055" max="1055" width="16" style="169" customWidth="1"/>
    <col min="1056" max="1056" width="16.5703125" style="169" customWidth="1"/>
    <col min="1057" max="1280" width="9.140625" style="169"/>
    <col min="1281" max="1281" width="8.28515625" style="169" customWidth="1"/>
    <col min="1282" max="1282" width="26.140625" style="169" customWidth="1"/>
    <col min="1283" max="1285" width="11.28515625" style="169" customWidth="1"/>
    <col min="1286" max="1286" width="10.28515625" style="169" customWidth="1"/>
    <col min="1287" max="1287" width="15.5703125" style="169" customWidth="1"/>
    <col min="1288" max="1288" width="16" style="169" customWidth="1"/>
    <col min="1289" max="1291" width="0" style="169" hidden="1" customWidth="1"/>
    <col min="1292" max="1292" width="17.140625" style="169" customWidth="1"/>
    <col min="1293" max="1293" width="16.85546875" style="169" customWidth="1"/>
    <col min="1294" max="1294" width="16.5703125" style="169" customWidth="1"/>
    <col min="1295" max="1295" width="16.28515625" style="169" customWidth="1"/>
    <col min="1296" max="1298" width="0" style="169" hidden="1" customWidth="1"/>
    <col min="1299" max="1299" width="16.42578125" style="169" customWidth="1"/>
    <col min="1300" max="1300" width="17" style="169" customWidth="1"/>
    <col min="1301" max="1303" width="0" style="169" hidden="1" customWidth="1"/>
    <col min="1304" max="1304" width="16.42578125" style="169" customWidth="1"/>
    <col min="1305" max="1305" width="16.140625" style="169" customWidth="1"/>
    <col min="1306" max="1306" width="16" style="169" customWidth="1"/>
    <col min="1307" max="1307" width="16.28515625" style="169" customWidth="1"/>
    <col min="1308" max="1308" width="14.5703125" style="169" customWidth="1"/>
    <col min="1309" max="1309" width="15.85546875" style="169" customWidth="1"/>
    <col min="1310" max="1310" width="15.140625" style="169" customWidth="1"/>
    <col min="1311" max="1311" width="16" style="169" customWidth="1"/>
    <col min="1312" max="1312" width="16.5703125" style="169" customWidth="1"/>
    <col min="1313" max="1536" width="9.140625" style="169"/>
    <col min="1537" max="1537" width="8.28515625" style="169" customWidth="1"/>
    <col min="1538" max="1538" width="26.140625" style="169" customWidth="1"/>
    <col min="1539" max="1541" width="11.28515625" style="169" customWidth="1"/>
    <col min="1542" max="1542" width="10.28515625" style="169" customWidth="1"/>
    <col min="1543" max="1543" width="15.5703125" style="169" customWidth="1"/>
    <col min="1544" max="1544" width="16" style="169" customWidth="1"/>
    <col min="1545" max="1547" width="0" style="169" hidden="1" customWidth="1"/>
    <col min="1548" max="1548" width="17.140625" style="169" customWidth="1"/>
    <col min="1549" max="1549" width="16.85546875" style="169" customWidth="1"/>
    <col min="1550" max="1550" width="16.5703125" style="169" customWidth="1"/>
    <col min="1551" max="1551" width="16.28515625" style="169" customWidth="1"/>
    <col min="1552" max="1554" width="0" style="169" hidden="1" customWidth="1"/>
    <col min="1555" max="1555" width="16.42578125" style="169" customWidth="1"/>
    <col min="1556" max="1556" width="17" style="169" customWidth="1"/>
    <col min="1557" max="1559" width="0" style="169" hidden="1" customWidth="1"/>
    <col min="1560" max="1560" width="16.42578125" style="169" customWidth="1"/>
    <col min="1561" max="1561" width="16.140625" style="169" customWidth="1"/>
    <col min="1562" max="1562" width="16" style="169" customWidth="1"/>
    <col min="1563" max="1563" width="16.28515625" style="169" customWidth="1"/>
    <col min="1564" max="1564" width="14.5703125" style="169" customWidth="1"/>
    <col min="1565" max="1565" width="15.85546875" style="169" customWidth="1"/>
    <col min="1566" max="1566" width="15.140625" style="169" customWidth="1"/>
    <col min="1567" max="1567" width="16" style="169" customWidth="1"/>
    <col min="1568" max="1568" width="16.5703125" style="169" customWidth="1"/>
    <col min="1569" max="1792" width="9.140625" style="169"/>
    <col min="1793" max="1793" width="8.28515625" style="169" customWidth="1"/>
    <col min="1794" max="1794" width="26.140625" style="169" customWidth="1"/>
    <col min="1795" max="1797" width="11.28515625" style="169" customWidth="1"/>
    <col min="1798" max="1798" width="10.28515625" style="169" customWidth="1"/>
    <col min="1799" max="1799" width="15.5703125" style="169" customWidth="1"/>
    <col min="1800" max="1800" width="16" style="169" customWidth="1"/>
    <col min="1801" max="1803" width="0" style="169" hidden="1" customWidth="1"/>
    <col min="1804" max="1804" width="17.140625" style="169" customWidth="1"/>
    <col min="1805" max="1805" width="16.85546875" style="169" customWidth="1"/>
    <col min="1806" max="1806" width="16.5703125" style="169" customWidth="1"/>
    <col min="1807" max="1807" width="16.28515625" style="169" customWidth="1"/>
    <col min="1808" max="1810" width="0" style="169" hidden="1" customWidth="1"/>
    <col min="1811" max="1811" width="16.42578125" style="169" customWidth="1"/>
    <col min="1812" max="1812" width="17" style="169" customWidth="1"/>
    <col min="1813" max="1815" width="0" style="169" hidden="1" customWidth="1"/>
    <col min="1816" max="1816" width="16.42578125" style="169" customWidth="1"/>
    <col min="1817" max="1817" width="16.140625" style="169" customWidth="1"/>
    <col min="1818" max="1818" width="16" style="169" customWidth="1"/>
    <col min="1819" max="1819" width="16.28515625" style="169" customWidth="1"/>
    <col min="1820" max="1820" width="14.5703125" style="169" customWidth="1"/>
    <col min="1821" max="1821" width="15.85546875" style="169" customWidth="1"/>
    <col min="1822" max="1822" width="15.140625" style="169" customWidth="1"/>
    <col min="1823" max="1823" width="16" style="169" customWidth="1"/>
    <col min="1824" max="1824" width="16.5703125" style="169" customWidth="1"/>
    <col min="1825" max="2048" width="9.140625" style="169"/>
    <col min="2049" max="2049" width="8.28515625" style="169" customWidth="1"/>
    <col min="2050" max="2050" width="26.140625" style="169" customWidth="1"/>
    <col min="2051" max="2053" width="11.28515625" style="169" customWidth="1"/>
    <col min="2054" max="2054" width="10.28515625" style="169" customWidth="1"/>
    <col min="2055" max="2055" width="15.5703125" style="169" customWidth="1"/>
    <col min="2056" max="2056" width="16" style="169" customWidth="1"/>
    <col min="2057" max="2059" width="0" style="169" hidden="1" customWidth="1"/>
    <col min="2060" max="2060" width="17.140625" style="169" customWidth="1"/>
    <col min="2061" max="2061" width="16.85546875" style="169" customWidth="1"/>
    <col min="2062" max="2062" width="16.5703125" style="169" customWidth="1"/>
    <col min="2063" max="2063" width="16.28515625" style="169" customWidth="1"/>
    <col min="2064" max="2066" width="0" style="169" hidden="1" customWidth="1"/>
    <col min="2067" max="2067" width="16.42578125" style="169" customWidth="1"/>
    <col min="2068" max="2068" width="17" style="169" customWidth="1"/>
    <col min="2069" max="2071" width="0" style="169" hidden="1" customWidth="1"/>
    <col min="2072" max="2072" width="16.42578125" style="169" customWidth="1"/>
    <col min="2073" max="2073" width="16.140625" style="169" customWidth="1"/>
    <col min="2074" max="2074" width="16" style="169" customWidth="1"/>
    <col min="2075" max="2075" width="16.28515625" style="169" customWidth="1"/>
    <col min="2076" max="2076" width="14.5703125" style="169" customWidth="1"/>
    <col min="2077" max="2077" width="15.85546875" style="169" customWidth="1"/>
    <col min="2078" max="2078" width="15.140625" style="169" customWidth="1"/>
    <col min="2079" max="2079" width="16" style="169" customWidth="1"/>
    <col min="2080" max="2080" width="16.5703125" style="169" customWidth="1"/>
    <col min="2081" max="2304" width="9.140625" style="169"/>
    <col min="2305" max="2305" width="8.28515625" style="169" customWidth="1"/>
    <col min="2306" max="2306" width="26.140625" style="169" customWidth="1"/>
    <col min="2307" max="2309" width="11.28515625" style="169" customWidth="1"/>
    <col min="2310" max="2310" width="10.28515625" style="169" customWidth="1"/>
    <col min="2311" max="2311" width="15.5703125" style="169" customWidth="1"/>
    <col min="2312" max="2312" width="16" style="169" customWidth="1"/>
    <col min="2313" max="2315" width="0" style="169" hidden="1" customWidth="1"/>
    <col min="2316" max="2316" width="17.140625" style="169" customWidth="1"/>
    <col min="2317" max="2317" width="16.85546875" style="169" customWidth="1"/>
    <col min="2318" max="2318" width="16.5703125" style="169" customWidth="1"/>
    <col min="2319" max="2319" width="16.28515625" style="169" customWidth="1"/>
    <col min="2320" max="2322" width="0" style="169" hidden="1" customWidth="1"/>
    <col min="2323" max="2323" width="16.42578125" style="169" customWidth="1"/>
    <col min="2324" max="2324" width="17" style="169" customWidth="1"/>
    <col min="2325" max="2327" width="0" style="169" hidden="1" customWidth="1"/>
    <col min="2328" max="2328" width="16.42578125" style="169" customWidth="1"/>
    <col min="2329" max="2329" width="16.140625" style="169" customWidth="1"/>
    <col min="2330" max="2330" width="16" style="169" customWidth="1"/>
    <col min="2331" max="2331" width="16.28515625" style="169" customWidth="1"/>
    <col min="2332" max="2332" width="14.5703125" style="169" customWidth="1"/>
    <col min="2333" max="2333" width="15.85546875" style="169" customWidth="1"/>
    <col min="2334" max="2334" width="15.140625" style="169" customWidth="1"/>
    <col min="2335" max="2335" width="16" style="169" customWidth="1"/>
    <col min="2336" max="2336" width="16.5703125" style="169" customWidth="1"/>
    <col min="2337" max="2560" width="9.140625" style="169"/>
    <col min="2561" max="2561" width="8.28515625" style="169" customWidth="1"/>
    <col min="2562" max="2562" width="26.140625" style="169" customWidth="1"/>
    <col min="2563" max="2565" width="11.28515625" style="169" customWidth="1"/>
    <col min="2566" max="2566" width="10.28515625" style="169" customWidth="1"/>
    <col min="2567" max="2567" width="15.5703125" style="169" customWidth="1"/>
    <col min="2568" max="2568" width="16" style="169" customWidth="1"/>
    <col min="2569" max="2571" width="0" style="169" hidden="1" customWidth="1"/>
    <col min="2572" max="2572" width="17.140625" style="169" customWidth="1"/>
    <col min="2573" max="2573" width="16.85546875" style="169" customWidth="1"/>
    <col min="2574" max="2574" width="16.5703125" style="169" customWidth="1"/>
    <col min="2575" max="2575" width="16.28515625" style="169" customWidth="1"/>
    <col min="2576" max="2578" width="0" style="169" hidden="1" customWidth="1"/>
    <col min="2579" max="2579" width="16.42578125" style="169" customWidth="1"/>
    <col min="2580" max="2580" width="17" style="169" customWidth="1"/>
    <col min="2581" max="2583" width="0" style="169" hidden="1" customWidth="1"/>
    <col min="2584" max="2584" width="16.42578125" style="169" customWidth="1"/>
    <col min="2585" max="2585" width="16.140625" style="169" customWidth="1"/>
    <col min="2586" max="2586" width="16" style="169" customWidth="1"/>
    <col min="2587" max="2587" width="16.28515625" style="169" customWidth="1"/>
    <col min="2588" max="2588" width="14.5703125" style="169" customWidth="1"/>
    <col min="2589" max="2589" width="15.85546875" style="169" customWidth="1"/>
    <col min="2590" max="2590" width="15.140625" style="169" customWidth="1"/>
    <col min="2591" max="2591" width="16" style="169" customWidth="1"/>
    <col min="2592" max="2592" width="16.5703125" style="169" customWidth="1"/>
    <col min="2593" max="2816" width="9.140625" style="169"/>
    <col min="2817" max="2817" width="8.28515625" style="169" customWidth="1"/>
    <col min="2818" max="2818" width="26.140625" style="169" customWidth="1"/>
    <col min="2819" max="2821" width="11.28515625" style="169" customWidth="1"/>
    <col min="2822" max="2822" width="10.28515625" style="169" customWidth="1"/>
    <col min="2823" max="2823" width="15.5703125" style="169" customWidth="1"/>
    <col min="2824" max="2824" width="16" style="169" customWidth="1"/>
    <col min="2825" max="2827" width="0" style="169" hidden="1" customWidth="1"/>
    <col min="2828" max="2828" width="17.140625" style="169" customWidth="1"/>
    <col min="2829" max="2829" width="16.85546875" style="169" customWidth="1"/>
    <col min="2830" max="2830" width="16.5703125" style="169" customWidth="1"/>
    <col min="2831" max="2831" width="16.28515625" style="169" customWidth="1"/>
    <col min="2832" max="2834" width="0" style="169" hidden="1" customWidth="1"/>
    <col min="2835" max="2835" width="16.42578125" style="169" customWidth="1"/>
    <col min="2836" max="2836" width="17" style="169" customWidth="1"/>
    <col min="2837" max="2839" width="0" style="169" hidden="1" customWidth="1"/>
    <col min="2840" max="2840" width="16.42578125" style="169" customWidth="1"/>
    <col min="2841" max="2841" width="16.140625" style="169" customWidth="1"/>
    <col min="2842" max="2842" width="16" style="169" customWidth="1"/>
    <col min="2843" max="2843" width="16.28515625" style="169" customWidth="1"/>
    <col min="2844" max="2844" width="14.5703125" style="169" customWidth="1"/>
    <col min="2845" max="2845" width="15.85546875" style="169" customWidth="1"/>
    <col min="2846" max="2846" width="15.140625" style="169" customWidth="1"/>
    <col min="2847" max="2847" width="16" style="169" customWidth="1"/>
    <col min="2848" max="2848" width="16.5703125" style="169" customWidth="1"/>
    <col min="2849" max="3072" width="9.140625" style="169"/>
    <col min="3073" max="3073" width="8.28515625" style="169" customWidth="1"/>
    <col min="3074" max="3074" width="26.140625" style="169" customWidth="1"/>
    <col min="3075" max="3077" width="11.28515625" style="169" customWidth="1"/>
    <col min="3078" max="3078" width="10.28515625" style="169" customWidth="1"/>
    <col min="3079" max="3079" width="15.5703125" style="169" customWidth="1"/>
    <col min="3080" max="3080" width="16" style="169" customWidth="1"/>
    <col min="3081" max="3083" width="0" style="169" hidden="1" customWidth="1"/>
    <col min="3084" max="3084" width="17.140625" style="169" customWidth="1"/>
    <col min="3085" max="3085" width="16.85546875" style="169" customWidth="1"/>
    <col min="3086" max="3086" width="16.5703125" style="169" customWidth="1"/>
    <col min="3087" max="3087" width="16.28515625" style="169" customWidth="1"/>
    <col min="3088" max="3090" width="0" style="169" hidden="1" customWidth="1"/>
    <col min="3091" max="3091" width="16.42578125" style="169" customWidth="1"/>
    <col min="3092" max="3092" width="17" style="169" customWidth="1"/>
    <col min="3093" max="3095" width="0" style="169" hidden="1" customWidth="1"/>
    <col min="3096" max="3096" width="16.42578125" style="169" customWidth="1"/>
    <col min="3097" max="3097" width="16.140625" style="169" customWidth="1"/>
    <col min="3098" max="3098" width="16" style="169" customWidth="1"/>
    <col min="3099" max="3099" width="16.28515625" style="169" customWidth="1"/>
    <col min="3100" max="3100" width="14.5703125" style="169" customWidth="1"/>
    <col min="3101" max="3101" width="15.85546875" style="169" customWidth="1"/>
    <col min="3102" max="3102" width="15.140625" style="169" customWidth="1"/>
    <col min="3103" max="3103" width="16" style="169" customWidth="1"/>
    <col min="3104" max="3104" width="16.5703125" style="169" customWidth="1"/>
    <col min="3105" max="3328" width="9.140625" style="169"/>
    <col min="3329" max="3329" width="8.28515625" style="169" customWidth="1"/>
    <col min="3330" max="3330" width="26.140625" style="169" customWidth="1"/>
    <col min="3331" max="3333" width="11.28515625" style="169" customWidth="1"/>
    <col min="3334" max="3334" width="10.28515625" style="169" customWidth="1"/>
    <col min="3335" max="3335" width="15.5703125" style="169" customWidth="1"/>
    <col min="3336" max="3336" width="16" style="169" customWidth="1"/>
    <col min="3337" max="3339" width="0" style="169" hidden="1" customWidth="1"/>
    <col min="3340" max="3340" width="17.140625" style="169" customWidth="1"/>
    <col min="3341" max="3341" width="16.85546875" style="169" customWidth="1"/>
    <col min="3342" max="3342" width="16.5703125" style="169" customWidth="1"/>
    <col min="3343" max="3343" width="16.28515625" style="169" customWidth="1"/>
    <col min="3344" max="3346" width="0" style="169" hidden="1" customWidth="1"/>
    <col min="3347" max="3347" width="16.42578125" style="169" customWidth="1"/>
    <col min="3348" max="3348" width="17" style="169" customWidth="1"/>
    <col min="3349" max="3351" width="0" style="169" hidden="1" customWidth="1"/>
    <col min="3352" max="3352" width="16.42578125" style="169" customWidth="1"/>
    <col min="3353" max="3353" width="16.140625" style="169" customWidth="1"/>
    <col min="3354" max="3354" width="16" style="169" customWidth="1"/>
    <col min="3355" max="3355" width="16.28515625" style="169" customWidth="1"/>
    <col min="3356" max="3356" width="14.5703125" style="169" customWidth="1"/>
    <col min="3357" max="3357" width="15.85546875" style="169" customWidth="1"/>
    <col min="3358" max="3358" width="15.140625" style="169" customWidth="1"/>
    <col min="3359" max="3359" width="16" style="169" customWidth="1"/>
    <col min="3360" max="3360" width="16.5703125" style="169" customWidth="1"/>
    <col min="3361" max="3584" width="9.140625" style="169"/>
    <col min="3585" max="3585" width="8.28515625" style="169" customWidth="1"/>
    <col min="3586" max="3586" width="26.140625" style="169" customWidth="1"/>
    <col min="3587" max="3589" width="11.28515625" style="169" customWidth="1"/>
    <col min="3590" max="3590" width="10.28515625" style="169" customWidth="1"/>
    <col min="3591" max="3591" width="15.5703125" style="169" customWidth="1"/>
    <col min="3592" max="3592" width="16" style="169" customWidth="1"/>
    <col min="3593" max="3595" width="0" style="169" hidden="1" customWidth="1"/>
    <col min="3596" max="3596" width="17.140625" style="169" customWidth="1"/>
    <col min="3597" max="3597" width="16.85546875" style="169" customWidth="1"/>
    <col min="3598" max="3598" width="16.5703125" style="169" customWidth="1"/>
    <col min="3599" max="3599" width="16.28515625" style="169" customWidth="1"/>
    <col min="3600" max="3602" width="0" style="169" hidden="1" customWidth="1"/>
    <col min="3603" max="3603" width="16.42578125" style="169" customWidth="1"/>
    <col min="3604" max="3604" width="17" style="169" customWidth="1"/>
    <col min="3605" max="3607" width="0" style="169" hidden="1" customWidth="1"/>
    <col min="3608" max="3608" width="16.42578125" style="169" customWidth="1"/>
    <col min="3609" max="3609" width="16.140625" style="169" customWidth="1"/>
    <col min="3610" max="3610" width="16" style="169" customWidth="1"/>
    <col min="3611" max="3611" width="16.28515625" style="169" customWidth="1"/>
    <col min="3612" max="3612" width="14.5703125" style="169" customWidth="1"/>
    <col min="3613" max="3613" width="15.85546875" style="169" customWidth="1"/>
    <col min="3614" max="3614" width="15.140625" style="169" customWidth="1"/>
    <col min="3615" max="3615" width="16" style="169" customWidth="1"/>
    <col min="3616" max="3616" width="16.5703125" style="169" customWidth="1"/>
    <col min="3617" max="3840" width="9.140625" style="169"/>
    <col min="3841" max="3841" width="8.28515625" style="169" customWidth="1"/>
    <col min="3842" max="3842" width="26.140625" style="169" customWidth="1"/>
    <col min="3843" max="3845" width="11.28515625" style="169" customWidth="1"/>
    <col min="3846" max="3846" width="10.28515625" style="169" customWidth="1"/>
    <col min="3847" max="3847" width="15.5703125" style="169" customWidth="1"/>
    <col min="3848" max="3848" width="16" style="169" customWidth="1"/>
    <col min="3849" max="3851" width="0" style="169" hidden="1" customWidth="1"/>
    <col min="3852" max="3852" width="17.140625" style="169" customWidth="1"/>
    <col min="3853" max="3853" width="16.85546875" style="169" customWidth="1"/>
    <col min="3854" max="3854" width="16.5703125" style="169" customWidth="1"/>
    <col min="3855" max="3855" width="16.28515625" style="169" customWidth="1"/>
    <col min="3856" max="3858" width="0" style="169" hidden="1" customWidth="1"/>
    <col min="3859" max="3859" width="16.42578125" style="169" customWidth="1"/>
    <col min="3860" max="3860" width="17" style="169" customWidth="1"/>
    <col min="3861" max="3863" width="0" style="169" hidden="1" customWidth="1"/>
    <col min="3864" max="3864" width="16.42578125" style="169" customWidth="1"/>
    <col min="3865" max="3865" width="16.140625" style="169" customWidth="1"/>
    <col min="3866" max="3866" width="16" style="169" customWidth="1"/>
    <col min="3867" max="3867" width="16.28515625" style="169" customWidth="1"/>
    <col min="3868" max="3868" width="14.5703125" style="169" customWidth="1"/>
    <col min="3869" max="3869" width="15.85546875" style="169" customWidth="1"/>
    <col min="3870" max="3870" width="15.140625" style="169" customWidth="1"/>
    <col min="3871" max="3871" width="16" style="169" customWidth="1"/>
    <col min="3872" max="3872" width="16.5703125" style="169" customWidth="1"/>
    <col min="3873" max="4096" width="9.140625" style="169"/>
    <col min="4097" max="4097" width="8.28515625" style="169" customWidth="1"/>
    <col min="4098" max="4098" width="26.140625" style="169" customWidth="1"/>
    <col min="4099" max="4101" width="11.28515625" style="169" customWidth="1"/>
    <col min="4102" max="4102" width="10.28515625" style="169" customWidth="1"/>
    <col min="4103" max="4103" width="15.5703125" style="169" customWidth="1"/>
    <col min="4104" max="4104" width="16" style="169" customWidth="1"/>
    <col min="4105" max="4107" width="0" style="169" hidden="1" customWidth="1"/>
    <col min="4108" max="4108" width="17.140625" style="169" customWidth="1"/>
    <col min="4109" max="4109" width="16.85546875" style="169" customWidth="1"/>
    <col min="4110" max="4110" width="16.5703125" style="169" customWidth="1"/>
    <col min="4111" max="4111" width="16.28515625" style="169" customWidth="1"/>
    <col min="4112" max="4114" width="0" style="169" hidden="1" customWidth="1"/>
    <col min="4115" max="4115" width="16.42578125" style="169" customWidth="1"/>
    <col min="4116" max="4116" width="17" style="169" customWidth="1"/>
    <col min="4117" max="4119" width="0" style="169" hidden="1" customWidth="1"/>
    <col min="4120" max="4120" width="16.42578125" style="169" customWidth="1"/>
    <col min="4121" max="4121" width="16.140625" style="169" customWidth="1"/>
    <col min="4122" max="4122" width="16" style="169" customWidth="1"/>
    <col min="4123" max="4123" width="16.28515625" style="169" customWidth="1"/>
    <col min="4124" max="4124" width="14.5703125" style="169" customWidth="1"/>
    <col min="4125" max="4125" width="15.85546875" style="169" customWidth="1"/>
    <col min="4126" max="4126" width="15.140625" style="169" customWidth="1"/>
    <col min="4127" max="4127" width="16" style="169" customWidth="1"/>
    <col min="4128" max="4128" width="16.5703125" style="169" customWidth="1"/>
    <col min="4129" max="4352" width="9.140625" style="169"/>
    <col min="4353" max="4353" width="8.28515625" style="169" customWidth="1"/>
    <col min="4354" max="4354" width="26.140625" style="169" customWidth="1"/>
    <col min="4355" max="4357" width="11.28515625" style="169" customWidth="1"/>
    <col min="4358" max="4358" width="10.28515625" style="169" customWidth="1"/>
    <col min="4359" max="4359" width="15.5703125" style="169" customWidth="1"/>
    <col min="4360" max="4360" width="16" style="169" customWidth="1"/>
    <col min="4361" max="4363" width="0" style="169" hidden="1" customWidth="1"/>
    <col min="4364" max="4364" width="17.140625" style="169" customWidth="1"/>
    <col min="4365" max="4365" width="16.85546875" style="169" customWidth="1"/>
    <col min="4366" max="4366" width="16.5703125" style="169" customWidth="1"/>
    <col min="4367" max="4367" width="16.28515625" style="169" customWidth="1"/>
    <col min="4368" max="4370" width="0" style="169" hidden="1" customWidth="1"/>
    <col min="4371" max="4371" width="16.42578125" style="169" customWidth="1"/>
    <col min="4372" max="4372" width="17" style="169" customWidth="1"/>
    <col min="4373" max="4375" width="0" style="169" hidden="1" customWidth="1"/>
    <col min="4376" max="4376" width="16.42578125" style="169" customWidth="1"/>
    <col min="4377" max="4377" width="16.140625" style="169" customWidth="1"/>
    <col min="4378" max="4378" width="16" style="169" customWidth="1"/>
    <col min="4379" max="4379" width="16.28515625" style="169" customWidth="1"/>
    <col min="4380" max="4380" width="14.5703125" style="169" customWidth="1"/>
    <col min="4381" max="4381" width="15.85546875" style="169" customWidth="1"/>
    <col min="4382" max="4382" width="15.140625" style="169" customWidth="1"/>
    <col min="4383" max="4383" width="16" style="169" customWidth="1"/>
    <col min="4384" max="4384" width="16.5703125" style="169" customWidth="1"/>
    <col min="4385" max="4608" width="9.140625" style="169"/>
    <col min="4609" max="4609" width="8.28515625" style="169" customWidth="1"/>
    <col min="4610" max="4610" width="26.140625" style="169" customWidth="1"/>
    <col min="4611" max="4613" width="11.28515625" style="169" customWidth="1"/>
    <col min="4614" max="4614" width="10.28515625" style="169" customWidth="1"/>
    <col min="4615" max="4615" width="15.5703125" style="169" customWidth="1"/>
    <col min="4616" max="4616" width="16" style="169" customWidth="1"/>
    <col min="4617" max="4619" width="0" style="169" hidden="1" customWidth="1"/>
    <col min="4620" max="4620" width="17.140625" style="169" customWidth="1"/>
    <col min="4621" max="4621" width="16.85546875" style="169" customWidth="1"/>
    <col min="4622" max="4622" width="16.5703125" style="169" customWidth="1"/>
    <col min="4623" max="4623" width="16.28515625" style="169" customWidth="1"/>
    <col min="4624" max="4626" width="0" style="169" hidden="1" customWidth="1"/>
    <col min="4627" max="4627" width="16.42578125" style="169" customWidth="1"/>
    <col min="4628" max="4628" width="17" style="169" customWidth="1"/>
    <col min="4629" max="4631" width="0" style="169" hidden="1" customWidth="1"/>
    <col min="4632" max="4632" width="16.42578125" style="169" customWidth="1"/>
    <col min="4633" max="4633" width="16.140625" style="169" customWidth="1"/>
    <col min="4634" max="4634" width="16" style="169" customWidth="1"/>
    <col min="4635" max="4635" width="16.28515625" style="169" customWidth="1"/>
    <col min="4636" max="4636" width="14.5703125" style="169" customWidth="1"/>
    <col min="4637" max="4637" width="15.85546875" style="169" customWidth="1"/>
    <col min="4638" max="4638" width="15.140625" style="169" customWidth="1"/>
    <col min="4639" max="4639" width="16" style="169" customWidth="1"/>
    <col min="4640" max="4640" width="16.5703125" style="169" customWidth="1"/>
    <col min="4641" max="4864" width="9.140625" style="169"/>
    <col min="4865" max="4865" width="8.28515625" style="169" customWidth="1"/>
    <col min="4866" max="4866" width="26.140625" style="169" customWidth="1"/>
    <col min="4867" max="4869" width="11.28515625" style="169" customWidth="1"/>
    <col min="4870" max="4870" width="10.28515625" style="169" customWidth="1"/>
    <col min="4871" max="4871" width="15.5703125" style="169" customWidth="1"/>
    <col min="4872" max="4872" width="16" style="169" customWidth="1"/>
    <col min="4873" max="4875" width="0" style="169" hidden="1" customWidth="1"/>
    <col min="4876" max="4876" width="17.140625" style="169" customWidth="1"/>
    <col min="4877" max="4877" width="16.85546875" style="169" customWidth="1"/>
    <col min="4878" max="4878" width="16.5703125" style="169" customWidth="1"/>
    <col min="4879" max="4879" width="16.28515625" style="169" customWidth="1"/>
    <col min="4880" max="4882" width="0" style="169" hidden="1" customWidth="1"/>
    <col min="4883" max="4883" width="16.42578125" style="169" customWidth="1"/>
    <col min="4884" max="4884" width="17" style="169" customWidth="1"/>
    <col min="4885" max="4887" width="0" style="169" hidden="1" customWidth="1"/>
    <col min="4888" max="4888" width="16.42578125" style="169" customWidth="1"/>
    <col min="4889" max="4889" width="16.140625" style="169" customWidth="1"/>
    <col min="4890" max="4890" width="16" style="169" customWidth="1"/>
    <col min="4891" max="4891" width="16.28515625" style="169" customWidth="1"/>
    <col min="4892" max="4892" width="14.5703125" style="169" customWidth="1"/>
    <col min="4893" max="4893" width="15.85546875" style="169" customWidth="1"/>
    <col min="4894" max="4894" width="15.140625" style="169" customWidth="1"/>
    <col min="4895" max="4895" width="16" style="169" customWidth="1"/>
    <col min="4896" max="4896" width="16.5703125" style="169" customWidth="1"/>
    <col min="4897" max="5120" width="9.140625" style="169"/>
    <col min="5121" max="5121" width="8.28515625" style="169" customWidth="1"/>
    <col min="5122" max="5122" width="26.140625" style="169" customWidth="1"/>
    <col min="5123" max="5125" width="11.28515625" style="169" customWidth="1"/>
    <col min="5126" max="5126" width="10.28515625" style="169" customWidth="1"/>
    <col min="5127" max="5127" width="15.5703125" style="169" customWidth="1"/>
    <col min="5128" max="5128" width="16" style="169" customWidth="1"/>
    <col min="5129" max="5131" width="0" style="169" hidden="1" customWidth="1"/>
    <col min="5132" max="5132" width="17.140625" style="169" customWidth="1"/>
    <col min="5133" max="5133" width="16.85546875" style="169" customWidth="1"/>
    <col min="5134" max="5134" width="16.5703125" style="169" customWidth="1"/>
    <col min="5135" max="5135" width="16.28515625" style="169" customWidth="1"/>
    <col min="5136" max="5138" width="0" style="169" hidden="1" customWidth="1"/>
    <col min="5139" max="5139" width="16.42578125" style="169" customWidth="1"/>
    <col min="5140" max="5140" width="17" style="169" customWidth="1"/>
    <col min="5141" max="5143" width="0" style="169" hidden="1" customWidth="1"/>
    <col min="5144" max="5144" width="16.42578125" style="169" customWidth="1"/>
    <col min="5145" max="5145" width="16.140625" style="169" customWidth="1"/>
    <col min="5146" max="5146" width="16" style="169" customWidth="1"/>
    <col min="5147" max="5147" width="16.28515625" style="169" customWidth="1"/>
    <col min="5148" max="5148" width="14.5703125" style="169" customWidth="1"/>
    <col min="5149" max="5149" width="15.85546875" style="169" customWidth="1"/>
    <col min="5150" max="5150" width="15.140625" style="169" customWidth="1"/>
    <col min="5151" max="5151" width="16" style="169" customWidth="1"/>
    <col min="5152" max="5152" width="16.5703125" style="169" customWidth="1"/>
    <col min="5153" max="5376" width="9.140625" style="169"/>
    <col min="5377" max="5377" width="8.28515625" style="169" customWidth="1"/>
    <col min="5378" max="5378" width="26.140625" style="169" customWidth="1"/>
    <col min="5379" max="5381" width="11.28515625" style="169" customWidth="1"/>
    <col min="5382" max="5382" width="10.28515625" style="169" customWidth="1"/>
    <col min="5383" max="5383" width="15.5703125" style="169" customWidth="1"/>
    <col min="5384" max="5384" width="16" style="169" customWidth="1"/>
    <col min="5385" max="5387" width="0" style="169" hidden="1" customWidth="1"/>
    <col min="5388" max="5388" width="17.140625" style="169" customWidth="1"/>
    <col min="5389" max="5389" width="16.85546875" style="169" customWidth="1"/>
    <col min="5390" max="5390" width="16.5703125" style="169" customWidth="1"/>
    <col min="5391" max="5391" width="16.28515625" style="169" customWidth="1"/>
    <col min="5392" max="5394" width="0" style="169" hidden="1" customWidth="1"/>
    <col min="5395" max="5395" width="16.42578125" style="169" customWidth="1"/>
    <col min="5396" max="5396" width="17" style="169" customWidth="1"/>
    <col min="5397" max="5399" width="0" style="169" hidden="1" customWidth="1"/>
    <col min="5400" max="5400" width="16.42578125" style="169" customWidth="1"/>
    <col min="5401" max="5401" width="16.140625" style="169" customWidth="1"/>
    <col min="5402" max="5402" width="16" style="169" customWidth="1"/>
    <col min="5403" max="5403" width="16.28515625" style="169" customWidth="1"/>
    <col min="5404" max="5404" width="14.5703125" style="169" customWidth="1"/>
    <col min="5405" max="5405" width="15.85546875" style="169" customWidth="1"/>
    <col min="5406" max="5406" width="15.140625" style="169" customWidth="1"/>
    <col min="5407" max="5407" width="16" style="169" customWidth="1"/>
    <col min="5408" max="5408" width="16.5703125" style="169" customWidth="1"/>
    <col min="5409" max="5632" width="9.140625" style="169"/>
    <col min="5633" max="5633" width="8.28515625" style="169" customWidth="1"/>
    <col min="5634" max="5634" width="26.140625" style="169" customWidth="1"/>
    <col min="5635" max="5637" width="11.28515625" style="169" customWidth="1"/>
    <col min="5638" max="5638" width="10.28515625" style="169" customWidth="1"/>
    <col min="5639" max="5639" width="15.5703125" style="169" customWidth="1"/>
    <col min="5640" max="5640" width="16" style="169" customWidth="1"/>
    <col min="5641" max="5643" width="0" style="169" hidden="1" customWidth="1"/>
    <col min="5644" max="5644" width="17.140625" style="169" customWidth="1"/>
    <col min="5645" max="5645" width="16.85546875" style="169" customWidth="1"/>
    <col min="5646" max="5646" width="16.5703125" style="169" customWidth="1"/>
    <col min="5647" max="5647" width="16.28515625" style="169" customWidth="1"/>
    <col min="5648" max="5650" width="0" style="169" hidden="1" customWidth="1"/>
    <col min="5651" max="5651" width="16.42578125" style="169" customWidth="1"/>
    <col min="5652" max="5652" width="17" style="169" customWidth="1"/>
    <col min="5653" max="5655" width="0" style="169" hidden="1" customWidth="1"/>
    <col min="5656" max="5656" width="16.42578125" style="169" customWidth="1"/>
    <col min="5657" max="5657" width="16.140625" style="169" customWidth="1"/>
    <col min="5658" max="5658" width="16" style="169" customWidth="1"/>
    <col min="5659" max="5659" width="16.28515625" style="169" customWidth="1"/>
    <col min="5660" max="5660" width="14.5703125" style="169" customWidth="1"/>
    <col min="5661" max="5661" width="15.85546875" style="169" customWidth="1"/>
    <col min="5662" max="5662" width="15.140625" style="169" customWidth="1"/>
    <col min="5663" max="5663" width="16" style="169" customWidth="1"/>
    <col min="5664" max="5664" width="16.5703125" style="169" customWidth="1"/>
    <col min="5665" max="5888" width="9.140625" style="169"/>
    <col min="5889" max="5889" width="8.28515625" style="169" customWidth="1"/>
    <col min="5890" max="5890" width="26.140625" style="169" customWidth="1"/>
    <col min="5891" max="5893" width="11.28515625" style="169" customWidth="1"/>
    <col min="5894" max="5894" width="10.28515625" style="169" customWidth="1"/>
    <col min="5895" max="5895" width="15.5703125" style="169" customWidth="1"/>
    <col min="5896" max="5896" width="16" style="169" customWidth="1"/>
    <col min="5897" max="5899" width="0" style="169" hidden="1" customWidth="1"/>
    <col min="5900" max="5900" width="17.140625" style="169" customWidth="1"/>
    <col min="5901" max="5901" width="16.85546875" style="169" customWidth="1"/>
    <col min="5902" max="5902" width="16.5703125" style="169" customWidth="1"/>
    <col min="5903" max="5903" width="16.28515625" style="169" customWidth="1"/>
    <col min="5904" max="5906" width="0" style="169" hidden="1" customWidth="1"/>
    <col min="5907" max="5907" width="16.42578125" style="169" customWidth="1"/>
    <col min="5908" max="5908" width="17" style="169" customWidth="1"/>
    <col min="5909" max="5911" width="0" style="169" hidden="1" customWidth="1"/>
    <col min="5912" max="5912" width="16.42578125" style="169" customWidth="1"/>
    <col min="5913" max="5913" width="16.140625" style="169" customWidth="1"/>
    <col min="5914" max="5914" width="16" style="169" customWidth="1"/>
    <col min="5915" max="5915" width="16.28515625" style="169" customWidth="1"/>
    <col min="5916" max="5916" width="14.5703125" style="169" customWidth="1"/>
    <col min="5917" max="5917" width="15.85546875" style="169" customWidth="1"/>
    <col min="5918" max="5918" width="15.140625" style="169" customWidth="1"/>
    <col min="5919" max="5919" width="16" style="169" customWidth="1"/>
    <col min="5920" max="5920" width="16.5703125" style="169" customWidth="1"/>
    <col min="5921" max="6144" width="9.140625" style="169"/>
    <col min="6145" max="6145" width="8.28515625" style="169" customWidth="1"/>
    <col min="6146" max="6146" width="26.140625" style="169" customWidth="1"/>
    <col min="6147" max="6149" width="11.28515625" style="169" customWidth="1"/>
    <col min="6150" max="6150" width="10.28515625" style="169" customWidth="1"/>
    <col min="6151" max="6151" width="15.5703125" style="169" customWidth="1"/>
    <col min="6152" max="6152" width="16" style="169" customWidth="1"/>
    <col min="6153" max="6155" width="0" style="169" hidden="1" customWidth="1"/>
    <col min="6156" max="6156" width="17.140625" style="169" customWidth="1"/>
    <col min="6157" max="6157" width="16.85546875" style="169" customWidth="1"/>
    <col min="6158" max="6158" width="16.5703125" style="169" customWidth="1"/>
    <col min="6159" max="6159" width="16.28515625" style="169" customWidth="1"/>
    <col min="6160" max="6162" width="0" style="169" hidden="1" customWidth="1"/>
    <col min="6163" max="6163" width="16.42578125" style="169" customWidth="1"/>
    <col min="6164" max="6164" width="17" style="169" customWidth="1"/>
    <col min="6165" max="6167" width="0" style="169" hidden="1" customWidth="1"/>
    <col min="6168" max="6168" width="16.42578125" style="169" customWidth="1"/>
    <col min="6169" max="6169" width="16.140625" style="169" customWidth="1"/>
    <col min="6170" max="6170" width="16" style="169" customWidth="1"/>
    <col min="6171" max="6171" width="16.28515625" style="169" customWidth="1"/>
    <col min="6172" max="6172" width="14.5703125" style="169" customWidth="1"/>
    <col min="6173" max="6173" width="15.85546875" style="169" customWidth="1"/>
    <col min="6174" max="6174" width="15.140625" style="169" customWidth="1"/>
    <col min="6175" max="6175" width="16" style="169" customWidth="1"/>
    <col min="6176" max="6176" width="16.5703125" style="169" customWidth="1"/>
    <col min="6177" max="6400" width="9.140625" style="169"/>
    <col min="6401" max="6401" width="8.28515625" style="169" customWidth="1"/>
    <col min="6402" max="6402" width="26.140625" style="169" customWidth="1"/>
    <col min="6403" max="6405" width="11.28515625" style="169" customWidth="1"/>
    <col min="6406" max="6406" width="10.28515625" style="169" customWidth="1"/>
    <col min="6407" max="6407" width="15.5703125" style="169" customWidth="1"/>
    <col min="6408" max="6408" width="16" style="169" customWidth="1"/>
    <col min="6409" max="6411" width="0" style="169" hidden="1" customWidth="1"/>
    <col min="6412" max="6412" width="17.140625" style="169" customWidth="1"/>
    <col min="6413" max="6413" width="16.85546875" style="169" customWidth="1"/>
    <col min="6414" max="6414" width="16.5703125" style="169" customWidth="1"/>
    <col min="6415" max="6415" width="16.28515625" style="169" customWidth="1"/>
    <col min="6416" max="6418" width="0" style="169" hidden="1" customWidth="1"/>
    <col min="6419" max="6419" width="16.42578125" style="169" customWidth="1"/>
    <col min="6420" max="6420" width="17" style="169" customWidth="1"/>
    <col min="6421" max="6423" width="0" style="169" hidden="1" customWidth="1"/>
    <col min="6424" max="6424" width="16.42578125" style="169" customWidth="1"/>
    <col min="6425" max="6425" width="16.140625" style="169" customWidth="1"/>
    <col min="6426" max="6426" width="16" style="169" customWidth="1"/>
    <col min="6427" max="6427" width="16.28515625" style="169" customWidth="1"/>
    <col min="6428" max="6428" width="14.5703125" style="169" customWidth="1"/>
    <col min="6429" max="6429" width="15.85546875" style="169" customWidth="1"/>
    <col min="6430" max="6430" width="15.140625" style="169" customWidth="1"/>
    <col min="6431" max="6431" width="16" style="169" customWidth="1"/>
    <col min="6432" max="6432" width="16.5703125" style="169" customWidth="1"/>
    <col min="6433" max="6656" width="9.140625" style="169"/>
    <col min="6657" max="6657" width="8.28515625" style="169" customWidth="1"/>
    <col min="6658" max="6658" width="26.140625" style="169" customWidth="1"/>
    <col min="6659" max="6661" width="11.28515625" style="169" customWidth="1"/>
    <col min="6662" max="6662" width="10.28515625" style="169" customWidth="1"/>
    <col min="6663" max="6663" width="15.5703125" style="169" customWidth="1"/>
    <col min="6664" max="6664" width="16" style="169" customWidth="1"/>
    <col min="6665" max="6667" width="0" style="169" hidden="1" customWidth="1"/>
    <col min="6668" max="6668" width="17.140625" style="169" customWidth="1"/>
    <col min="6669" max="6669" width="16.85546875" style="169" customWidth="1"/>
    <col min="6670" max="6670" width="16.5703125" style="169" customWidth="1"/>
    <col min="6671" max="6671" width="16.28515625" style="169" customWidth="1"/>
    <col min="6672" max="6674" width="0" style="169" hidden="1" customWidth="1"/>
    <col min="6675" max="6675" width="16.42578125" style="169" customWidth="1"/>
    <col min="6676" max="6676" width="17" style="169" customWidth="1"/>
    <col min="6677" max="6679" width="0" style="169" hidden="1" customWidth="1"/>
    <col min="6680" max="6680" width="16.42578125" style="169" customWidth="1"/>
    <col min="6681" max="6681" width="16.140625" style="169" customWidth="1"/>
    <col min="6682" max="6682" width="16" style="169" customWidth="1"/>
    <col min="6683" max="6683" width="16.28515625" style="169" customWidth="1"/>
    <col min="6684" max="6684" width="14.5703125" style="169" customWidth="1"/>
    <col min="6685" max="6685" width="15.85546875" style="169" customWidth="1"/>
    <col min="6686" max="6686" width="15.140625" style="169" customWidth="1"/>
    <col min="6687" max="6687" width="16" style="169" customWidth="1"/>
    <col min="6688" max="6688" width="16.5703125" style="169" customWidth="1"/>
    <col min="6689" max="6912" width="9.140625" style="169"/>
    <col min="6913" max="6913" width="8.28515625" style="169" customWidth="1"/>
    <col min="6914" max="6914" width="26.140625" style="169" customWidth="1"/>
    <col min="6915" max="6917" width="11.28515625" style="169" customWidth="1"/>
    <col min="6918" max="6918" width="10.28515625" style="169" customWidth="1"/>
    <col min="6919" max="6919" width="15.5703125" style="169" customWidth="1"/>
    <col min="6920" max="6920" width="16" style="169" customWidth="1"/>
    <col min="6921" max="6923" width="0" style="169" hidden="1" customWidth="1"/>
    <col min="6924" max="6924" width="17.140625" style="169" customWidth="1"/>
    <col min="6925" max="6925" width="16.85546875" style="169" customWidth="1"/>
    <col min="6926" max="6926" width="16.5703125" style="169" customWidth="1"/>
    <col min="6927" max="6927" width="16.28515625" style="169" customWidth="1"/>
    <col min="6928" max="6930" width="0" style="169" hidden="1" customWidth="1"/>
    <col min="6931" max="6931" width="16.42578125" style="169" customWidth="1"/>
    <col min="6932" max="6932" width="17" style="169" customWidth="1"/>
    <col min="6933" max="6935" width="0" style="169" hidden="1" customWidth="1"/>
    <col min="6936" max="6936" width="16.42578125" style="169" customWidth="1"/>
    <col min="6937" max="6937" width="16.140625" style="169" customWidth="1"/>
    <col min="6938" max="6938" width="16" style="169" customWidth="1"/>
    <col min="6939" max="6939" width="16.28515625" style="169" customWidth="1"/>
    <col min="6940" max="6940" width="14.5703125" style="169" customWidth="1"/>
    <col min="6941" max="6941" width="15.85546875" style="169" customWidth="1"/>
    <col min="6942" max="6942" width="15.140625" style="169" customWidth="1"/>
    <col min="6943" max="6943" width="16" style="169" customWidth="1"/>
    <col min="6944" max="6944" width="16.5703125" style="169" customWidth="1"/>
    <col min="6945" max="7168" width="9.140625" style="169"/>
    <col min="7169" max="7169" width="8.28515625" style="169" customWidth="1"/>
    <col min="7170" max="7170" width="26.140625" style="169" customWidth="1"/>
    <col min="7171" max="7173" width="11.28515625" style="169" customWidth="1"/>
    <col min="7174" max="7174" width="10.28515625" style="169" customWidth="1"/>
    <col min="7175" max="7175" width="15.5703125" style="169" customWidth="1"/>
    <col min="7176" max="7176" width="16" style="169" customWidth="1"/>
    <col min="7177" max="7179" width="0" style="169" hidden="1" customWidth="1"/>
    <col min="7180" max="7180" width="17.140625" style="169" customWidth="1"/>
    <col min="7181" max="7181" width="16.85546875" style="169" customWidth="1"/>
    <col min="7182" max="7182" width="16.5703125" style="169" customWidth="1"/>
    <col min="7183" max="7183" width="16.28515625" style="169" customWidth="1"/>
    <col min="7184" max="7186" width="0" style="169" hidden="1" customWidth="1"/>
    <col min="7187" max="7187" width="16.42578125" style="169" customWidth="1"/>
    <col min="7188" max="7188" width="17" style="169" customWidth="1"/>
    <col min="7189" max="7191" width="0" style="169" hidden="1" customWidth="1"/>
    <col min="7192" max="7192" width="16.42578125" style="169" customWidth="1"/>
    <col min="7193" max="7193" width="16.140625" style="169" customWidth="1"/>
    <col min="7194" max="7194" width="16" style="169" customWidth="1"/>
    <col min="7195" max="7195" width="16.28515625" style="169" customWidth="1"/>
    <col min="7196" max="7196" width="14.5703125" style="169" customWidth="1"/>
    <col min="7197" max="7197" width="15.85546875" style="169" customWidth="1"/>
    <col min="7198" max="7198" width="15.140625" style="169" customWidth="1"/>
    <col min="7199" max="7199" width="16" style="169" customWidth="1"/>
    <col min="7200" max="7200" width="16.5703125" style="169" customWidth="1"/>
    <col min="7201" max="7424" width="9.140625" style="169"/>
    <col min="7425" max="7425" width="8.28515625" style="169" customWidth="1"/>
    <col min="7426" max="7426" width="26.140625" style="169" customWidth="1"/>
    <col min="7427" max="7429" width="11.28515625" style="169" customWidth="1"/>
    <col min="7430" max="7430" width="10.28515625" style="169" customWidth="1"/>
    <col min="7431" max="7431" width="15.5703125" style="169" customWidth="1"/>
    <col min="7432" max="7432" width="16" style="169" customWidth="1"/>
    <col min="7433" max="7435" width="0" style="169" hidden="1" customWidth="1"/>
    <col min="7436" max="7436" width="17.140625" style="169" customWidth="1"/>
    <col min="7437" max="7437" width="16.85546875" style="169" customWidth="1"/>
    <col min="7438" max="7438" width="16.5703125" style="169" customWidth="1"/>
    <col min="7439" max="7439" width="16.28515625" style="169" customWidth="1"/>
    <col min="7440" max="7442" width="0" style="169" hidden="1" customWidth="1"/>
    <col min="7443" max="7443" width="16.42578125" style="169" customWidth="1"/>
    <col min="7444" max="7444" width="17" style="169" customWidth="1"/>
    <col min="7445" max="7447" width="0" style="169" hidden="1" customWidth="1"/>
    <col min="7448" max="7448" width="16.42578125" style="169" customWidth="1"/>
    <col min="7449" max="7449" width="16.140625" style="169" customWidth="1"/>
    <col min="7450" max="7450" width="16" style="169" customWidth="1"/>
    <col min="7451" max="7451" width="16.28515625" style="169" customWidth="1"/>
    <col min="7452" max="7452" width="14.5703125" style="169" customWidth="1"/>
    <col min="7453" max="7453" width="15.85546875" style="169" customWidth="1"/>
    <col min="7454" max="7454" width="15.140625" style="169" customWidth="1"/>
    <col min="7455" max="7455" width="16" style="169" customWidth="1"/>
    <col min="7456" max="7456" width="16.5703125" style="169" customWidth="1"/>
    <col min="7457" max="7680" width="9.140625" style="169"/>
    <col min="7681" max="7681" width="8.28515625" style="169" customWidth="1"/>
    <col min="7682" max="7682" width="26.140625" style="169" customWidth="1"/>
    <col min="7683" max="7685" width="11.28515625" style="169" customWidth="1"/>
    <col min="7686" max="7686" width="10.28515625" style="169" customWidth="1"/>
    <col min="7687" max="7687" width="15.5703125" style="169" customWidth="1"/>
    <col min="7688" max="7688" width="16" style="169" customWidth="1"/>
    <col min="7689" max="7691" width="0" style="169" hidden="1" customWidth="1"/>
    <col min="7692" max="7692" width="17.140625" style="169" customWidth="1"/>
    <col min="7693" max="7693" width="16.85546875" style="169" customWidth="1"/>
    <col min="7694" max="7694" width="16.5703125" style="169" customWidth="1"/>
    <col min="7695" max="7695" width="16.28515625" style="169" customWidth="1"/>
    <col min="7696" max="7698" width="0" style="169" hidden="1" customWidth="1"/>
    <col min="7699" max="7699" width="16.42578125" style="169" customWidth="1"/>
    <col min="7700" max="7700" width="17" style="169" customWidth="1"/>
    <col min="7701" max="7703" width="0" style="169" hidden="1" customWidth="1"/>
    <col min="7704" max="7704" width="16.42578125" style="169" customWidth="1"/>
    <col min="7705" max="7705" width="16.140625" style="169" customWidth="1"/>
    <col min="7706" max="7706" width="16" style="169" customWidth="1"/>
    <col min="7707" max="7707" width="16.28515625" style="169" customWidth="1"/>
    <col min="7708" max="7708" width="14.5703125" style="169" customWidth="1"/>
    <col min="7709" max="7709" width="15.85546875" style="169" customWidth="1"/>
    <col min="7710" max="7710" width="15.140625" style="169" customWidth="1"/>
    <col min="7711" max="7711" width="16" style="169" customWidth="1"/>
    <col min="7712" max="7712" width="16.5703125" style="169" customWidth="1"/>
    <col min="7713" max="7936" width="9.140625" style="169"/>
    <col min="7937" max="7937" width="8.28515625" style="169" customWidth="1"/>
    <col min="7938" max="7938" width="26.140625" style="169" customWidth="1"/>
    <col min="7939" max="7941" width="11.28515625" style="169" customWidth="1"/>
    <col min="7942" max="7942" width="10.28515625" style="169" customWidth="1"/>
    <col min="7943" max="7943" width="15.5703125" style="169" customWidth="1"/>
    <col min="7944" max="7944" width="16" style="169" customWidth="1"/>
    <col min="7945" max="7947" width="0" style="169" hidden="1" customWidth="1"/>
    <col min="7948" max="7948" width="17.140625" style="169" customWidth="1"/>
    <col min="7949" max="7949" width="16.85546875" style="169" customWidth="1"/>
    <col min="7950" max="7950" width="16.5703125" style="169" customWidth="1"/>
    <col min="7951" max="7951" width="16.28515625" style="169" customWidth="1"/>
    <col min="7952" max="7954" width="0" style="169" hidden="1" customWidth="1"/>
    <col min="7955" max="7955" width="16.42578125" style="169" customWidth="1"/>
    <col min="7956" max="7956" width="17" style="169" customWidth="1"/>
    <col min="7957" max="7959" width="0" style="169" hidden="1" customWidth="1"/>
    <col min="7960" max="7960" width="16.42578125" style="169" customWidth="1"/>
    <col min="7961" max="7961" width="16.140625" style="169" customWidth="1"/>
    <col min="7962" max="7962" width="16" style="169" customWidth="1"/>
    <col min="7963" max="7963" width="16.28515625" style="169" customWidth="1"/>
    <col min="7964" max="7964" width="14.5703125" style="169" customWidth="1"/>
    <col min="7965" max="7965" width="15.85546875" style="169" customWidth="1"/>
    <col min="7966" max="7966" width="15.140625" style="169" customWidth="1"/>
    <col min="7967" max="7967" width="16" style="169" customWidth="1"/>
    <col min="7968" max="7968" width="16.5703125" style="169" customWidth="1"/>
    <col min="7969" max="8192" width="9.140625" style="169"/>
    <col min="8193" max="8193" width="8.28515625" style="169" customWidth="1"/>
    <col min="8194" max="8194" width="26.140625" style="169" customWidth="1"/>
    <col min="8195" max="8197" width="11.28515625" style="169" customWidth="1"/>
    <col min="8198" max="8198" width="10.28515625" style="169" customWidth="1"/>
    <col min="8199" max="8199" width="15.5703125" style="169" customWidth="1"/>
    <col min="8200" max="8200" width="16" style="169" customWidth="1"/>
    <col min="8201" max="8203" width="0" style="169" hidden="1" customWidth="1"/>
    <col min="8204" max="8204" width="17.140625" style="169" customWidth="1"/>
    <col min="8205" max="8205" width="16.85546875" style="169" customWidth="1"/>
    <col min="8206" max="8206" width="16.5703125" style="169" customWidth="1"/>
    <col min="8207" max="8207" width="16.28515625" style="169" customWidth="1"/>
    <col min="8208" max="8210" width="0" style="169" hidden="1" customWidth="1"/>
    <col min="8211" max="8211" width="16.42578125" style="169" customWidth="1"/>
    <col min="8212" max="8212" width="17" style="169" customWidth="1"/>
    <col min="8213" max="8215" width="0" style="169" hidden="1" customWidth="1"/>
    <col min="8216" max="8216" width="16.42578125" style="169" customWidth="1"/>
    <col min="8217" max="8217" width="16.140625" style="169" customWidth="1"/>
    <col min="8218" max="8218" width="16" style="169" customWidth="1"/>
    <col min="8219" max="8219" width="16.28515625" style="169" customWidth="1"/>
    <col min="8220" max="8220" width="14.5703125" style="169" customWidth="1"/>
    <col min="8221" max="8221" width="15.85546875" style="169" customWidth="1"/>
    <col min="8222" max="8222" width="15.140625" style="169" customWidth="1"/>
    <col min="8223" max="8223" width="16" style="169" customWidth="1"/>
    <col min="8224" max="8224" width="16.5703125" style="169" customWidth="1"/>
    <col min="8225" max="8448" width="9.140625" style="169"/>
    <col min="8449" max="8449" width="8.28515625" style="169" customWidth="1"/>
    <col min="8450" max="8450" width="26.140625" style="169" customWidth="1"/>
    <col min="8451" max="8453" width="11.28515625" style="169" customWidth="1"/>
    <col min="8454" max="8454" width="10.28515625" style="169" customWidth="1"/>
    <col min="8455" max="8455" width="15.5703125" style="169" customWidth="1"/>
    <col min="8456" max="8456" width="16" style="169" customWidth="1"/>
    <col min="8457" max="8459" width="0" style="169" hidden="1" customWidth="1"/>
    <col min="8460" max="8460" width="17.140625" style="169" customWidth="1"/>
    <col min="8461" max="8461" width="16.85546875" style="169" customWidth="1"/>
    <col min="8462" max="8462" width="16.5703125" style="169" customWidth="1"/>
    <col min="8463" max="8463" width="16.28515625" style="169" customWidth="1"/>
    <col min="8464" max="8466" width="0" style="169" hidden="1" customWidth="1"/>
    <col min="8467" max="8467" width="16.42578125" style="169" customWidth="1"/>
    <col min="8468" max="8468" width="17" style="169" customWidth="1"/>
    <col min="8469" max="8471" width="0" style="169" hidden="1" customWidth="1"/>
    <col min="8472" max="8472" width="16.42578125" style="169" customWidth="1"/>
    <col min="8473" max="8473" width="16.140625" style="169" customWidth="1"/>
    <col min="8474" max="8474" width="16" style="169" customWidth="1"/>
    <col min="8475" max="8475" width="16.28515625" style="169" customWidth="1"/>
    <col min="8476" max="8476" width="14.5703125" style="169" customWidth="1"/>
    <col min="8477" max="8477" width="15.85546875" style="169" customWidth="1"/>
    <col min="8478" max="8478" width="15.140625" style="169" customWidth="1"/>
    <col min="8479" max="8479" width="16" style="169" customWidth="1"/>
    <col min="8480" max="8480" width="16.5703125" style="169" customWidth="1"/>
    <col min="8481" max="8704" width="9.140625" style="169"/>
    <col min="8705" max="8705" width="8.28515625" style="169" customWidth="1"/>
    <col min="8706" max="8706" width="26.140625" style="169" customWidth="1"/>
    <col min="8707" max="8709" width="11.28515625" style="169" customWidth="1"/>
    <col min="8710" max="8710" width="10.28515625" style="169" customWidth="1"/>
    <col min="8711" max="8711" width="15.5703125" style="169" customWidth="1"/>
    <col min="8712" max="8712" width="16" style="169" customWidth="1"/>
    <col min="8713" max="8715" width="0" style="169" hidden="1" customWidth="1"/>
    <col min="8716" max="8716" width="17.140625" style="169" customWidth="1"/>
    <col min="8717" max="8717" width="16.85546875" style="169" customWidth="1"/>
    <col min="8718" max="8718" width="16.5703125" style="169" customWidth="1"/>
    <col min="8719" max="8719" width="16.28515625" style="169" customWidth="1"/>
    <col min="8720" max="8722" width="0" style="169" hidden="1" customWidth="1"/>
    <col min="8723" max="8723" width="16.42578125" style="169" customWidth="1"/>
    <col min="8724" max="8724" width="17" style="169" customWidth="1"/>
    <col min="8725" max="8727" width="0" style="169" hidden="1" customWidth="1"/>
    <col min="8728" max="8728" width="16.42578125" style="169" customWidth="1"/>
    <col min="8729" max="8729" width="16.140625" style="169" customWidth="1"/>
    <col min="8730" max="8730" width="16" style="169" customWidth="1"/>
    <col min="8731" max="8731" width="16.28515625" style="169" customWidth="1"/>
    <col min="8732" max="8732" width="14.5703125" style="169" customWidth="1"/>
    <col min="8733" max="8733" width="15.85546875" style="169" customWidth="1"/>
    <col min="8734" max="8734" width="15.140625" style="169" customWidth="1"/>
    <col min="8735" max="8735" width="16" style="169" customWidth="1"/>
    <col min="8736" max="8736" width="16.5703125" style="169" customWidth="1"/>
    <col min="8737" max="8960" width="9.140625" style="169"/>
    <col min="8961" max="8961" width="8.28515625" style="169" customWidth="1"/>
    <col min="8962" max="8962" width="26.140625" style="169" customWidth="1"/>
    <col min="8963" max="8965" width="11.28515625" style="169" customWidth="1"/>
    <col min="8966" max="8966" width="10.28515625" style="169" customWidth="1"/>
    <col min="8967" max="8967" width="15.5703125" style="169" customWidth="1"/>
    <col min="8968" max="8968" width="16" style="169" customWidth="1"/>
    <col min="8969" max="8971" width="0" style="169" hidden="1" customWidth="1"/>
    <col min="8972" max="8972" width="17.140625" style="169" customWidth="1"/>
    <col min="8973" max="8973" width="16.85546875" style="169" customWidth="1"/>
    <col min="8974" max="8974" width="16.5703125" style="169" customWidth="1"/>
    <col min="8975" max="8975" width="16.28515625" style="169" customWidth="1"/>
    <col min="8976" max="8978" width="0" style="169" hidden="1" customWidth="1"/>
    <col min="8979" max="8979" width="16.42578125" style="169" customWidth="1"/>
    <col min="8980" max="8980" width="17" style="169" customWidth="1"/>
    <col min="8981" max="8983" width="0" style="169" hidden="1" customWidth="1"/>
    <col min="8984" max="8984" width="16.42578125" style="169" customWidth="1"/>
    <col min="8985" max="8985" width="16.140625" style="169" customWidth="1"/>
    <col min="8986" max="8986" width="16" style="169" customWidth="1"/>
    <col min="8987" max="8987" width="16.28515625" style="169" customWidth="1"/>
    <col min="8988" max="8988" width="14.5703125" style="169" customWidth="1"/>
    <col min="8989" max="8989" width="15.85546875" style="169" customWidth="1"/>
    <col min="8990" max="8990" width="15.140625" style="169" customWidth="1"/>
    <col min="8991" max="8991" width="16" style="169" customWidth="1"/>
    <col min="8992" max="8992" width="16.5703125" style="169" customWidth="1"/>
    <col min="8993" max="9216" width="9.140625" style="169"/>
    <col min="9217" max="9217" width="8.28515625" style="169" customWidth="1"/>
    <col min="9218" max="9218" width="26.140625" style="169" customWidth="1"/>
    <col min="9219" max="9221" width="11.28515625" style="169" customWidth="1"/>
    <col min="9222" max="9222" width="10.28515625" style="169" customWidth="1"/>
    <col min="9223" max="9223" width="15.5703125" style="169" customWidth="1"/>
    <col min="9224" max="9224" width="16" style="169" customWidth="1"/>
    <col min="9225" max="9227" width="0" style="169" hidden="1" customWidth="1"/>
    <col min="9228" max="9228" width="17.140625" style="169" customWidth="1"/>
    <col min="9229" max="9229" width="16.85546875" style="169" customWidth="1"/>
    <col min="9230" max="9230" width="16.5703125" style="169" customWidth="1"/>
    <col min="9231" max="9231" width="16.28515625" style="169" customWidth="1"/>
    <col min="9232" max="9234" width="0" style="169" hidden="1" customWidth="1"/>
    <col min="9235" max="9235" width="16.42578125" style="169" customWidth="1"/>
    <col min="9236" max="9236" width="17" style="169" customWidth="1"/>
    <col min="9237" max="9239" width="0" style="169" hidden="1" customWidth="1"/>
    <col min="9240" max="9240" width="16.42578125" style="169" customWidth="1"/>
    <col min="9241" max="9241" width="16.140625" style="169" customWidth="1"/>
    <col min="9242" max="9242" width="16" style="169" customWidth="1"/>
    <col min="9243" max="9243" width="16.28515625" style="169" customWidth="1"/>
    <col min="9244" max="9244" width="14.5703125" style="169" customWidth="1"/>
    <col min="9245" max="9245" width="15.85546875" style="169" customWidth="1"/>
    <col min="9246" max="9246" width="15.140625" style="169" customWidth="1"/>
    <col min="9247" max="9247" width="16" style="169" customWidth="1"/>
    <col min="9248" max="9248" width="16.5703125" style="169" customWidth="1"/>
    <col min="9249" max="9472" width="9.140625" style="169"/>
    <col min="9473" max="9473" width="8.28515625" style="169" customWidth="1"/>
    <col min="9474" max="9474" width="26.140625" style="169" customWidth="1"/>
    <col min="9475" max="9477" width="11.28515625" style="169" customWidth="1"/>
    <col min="9478" max="9478" width="10.28515625" style="169" customWidth="1"/>
    <col min="9479" max="9479" width="15.5703125" style="169" customWidth="1"/>
    <col min="9480" max="9480" width="16" style="169" customWidth="1"/>
    <col min="9481" max="9483" width="0" style="169" hidden="1" customWidth="1"/>
    <col min="9484" max="9484" width="17.140625" style="169" customWidth="1"/>
    <col min="9485" max="9485" width="16.85546875" style="169" customWidth="1"/>
    <col min="9486" max="9486" width="16.5703125" style="169" customWidth="1"/>
    <col min="9487" max="9487" width="16.28515625" style="169" customWidth="1"/>
    <col min="9488" max="9490" width="0" style="169" hidden="1" customWidth="1"/>
    <col min="9491" max="9491" width="16.42578125" style="169" customWidth="1"/>
    <col min="9492" max="9492" width="17" style="169" customWidth="1"/>
    <col min="9493" max="9495" width="0" style="169" hidden="1" customWidth="1"/>
    <col min="9496" max="9496" width="16.42578125" style="169" customWidth="1"/>
    <col min="9497" max="9497" width="16.140625" style="169" customWidth="1"/>
    <col min="9498" max="9498" width="16" style="169" customWidth="1"/>
    <col min="9499" max="9499" width="16.28515625" style="169" customWidth="1"/>
    <col min="9500" max="9500" width="14.5703125" style="169" customWidth="1"/>
    <col min="9501" max="9501" width="15.85546875" style="169" customWidth="1"/>
    <col min="9502" max="9502" width="15.140625" style="169" customWidth="1"/>
    <col min="9503" max="9503" width="16" style="169" customWidth="1"/>
    <col min="9504" max="9504" width="16.5703125" style="169" customWidth="1"/>
    <col min="9505" max="9728" width="9.140625" style="169"/>
    <col min="9729" max="9729" width="8.28515625" style="169" customWidth="1"/>
    <col min="9730" max="9730" width="26.140625" style="169" customWidth="1"/>
    <col min="9731" max="9733" width="11.28515625" style="169" customWidth="1"/>
    <col min="9734" max="9734" width="10.28515625" style="169" customWidth="1"/>
    <col min="9735" max="9735" width="15.5703125" style="169" customWidth="1"/>
    <col min="9736" max="9736" width="16" style="169" customWidth="1"/>
    <col min="9737" max="9739" width="0" style="169" hidden="1" customWidth="1"/>
    <col min="9740" max="9740" width="17.140625" style="169" customWidth="1"/>
    <col min="9741" max="9741" width="16.85546875" style="169" customWidth="1"/>
    <col min="9742" max="9742" width="16.5703125" style="169" customWidth="1"/>
    <col min="9743" max="9743" width="16.28515625" style="169" customWidth="1"/>
    <col min="9744" max="9746" width="0" style="169" hidden="1" customWidth="1"/>
    <col min="9747" max="9747" width="16.42578125" style="169" customWidth="1"/>
    <col min="9748" max="9748" width="17" style="169" customWidth="1"/>
    <col min="9749" max="9751" width="0" style="169" hidden="1" customWidth="1"/>
    <col min="9752" max="9752" width="16.42578125" style="169" customWidth="1"/>
    <col min="9753" max="9753" width="16.140625" style="169" customWidth="1"/>
    <col min="9754" max="9754" width="16" style="169" customWidth="1"/>
    <col min="9755" max="9755" width="16.28515625" style="169" customWidth="1"/>
    <col min="9756" max="9756" width="14.5703125" style="169" customWidth="1"/>
    <col min="9757" max="9757" width="15.85546875" style="169" customWidth="1"/>
    <col min="9758" max="9758" width="15.140625" style="169" customWidth="1"/>
    <col min="9759" max="9759" width="16" style="169" customWidth="1"/>
    <col min="9760" max="9760" width="16.5703125" style="169" customWidth="1"/>
    <col min="9761" max="9984" width="9.140625" style="169"/>
    <col min="9985" max="9985" width="8.28515625" style="169" customWidth="1"/>
    <col min="9986" max="9986" width="26.140625" style="169" customWidth="1"/>
    <col min="9987" max="9989" width="11.28515625" style="169" customWidth="1"/>
    <col min="9990" max="9990" width="10.28515625" style="169" customWidth="1"/>
    <col min="9991" max="9991" width="15.5703125" style="169" customWidth="1"/>
    <col min="9992" max="9992" width="16" style="169" customWidth="1"/>
    <col min="9993" max="9995" width="0" style="169" hidden="1" customWidth="1"/>
    <col min="9996" max="9996" width="17.140625" style="169" customWidth="1"/>
    <col min="9997" max="9997" width="16.85546875" style="169" customWidth="1"/>
    <col min="9998" max="9998" width="16.5703125" style="169" customWidth="1"/>
    <col min="9999" max="9999" width="16.28515625" style="169" customWidth="1"/>
    <col min="10000" max="10002" width="0" style="169" hidden="1" customWidth="1"/>
    <col min="10003" max="10003" width="16.42578125" style="169" customWidth="1"/>
    <col min="10004" max="10004" width="17" style="169" customWidth="1"/>
    <col min="10005" max="10007" width="0" style="169" hidden="1" customWidth="1"/>
    <col min="10008" max="10008" width="16.42578125" style="169" customWidth="1"/>
    <col min="10009" max="10009" width="16.140625" style="169" customWidth="1"/>
    <col min="10010" max="10010" width="16" style="169" customWidth="1"/>
    <col min="10011" max="10011" width="16.28515625" style="169" customWidth="1"/>
    <col min="10012" max="10012" width="14.5703125" style="169" customWidth="1"/>
    <col min="10013" max="10013" width="15.85546875" style="169" customWidth="1"/>
    <col min="10014" max="10014" width="15.140625" style="169" customWidth="1"/>
    <col min="10015" max="10015" width="16" style="169" customWidth="1"/>
    <col min="10016" max="10016" width="16.5703125" style="169" customWidth="1"/>
    <col min="10017" max="10240" width="9.140625" style="169"/>
    <col min="10241" max="10241" width="8.28515625" style="169" customWidth="1"/>
    <col min="10242" max="10242" width="26.140625" style="169" customWidth="1"/>
    <col min="10243" max="10245" width="11.28515625" style="169" customWidth="1"/>
    <col min="10246" max="10246" width="10.28515625" style="169" customWidth="1"/>
    <col min="10247" max="10247" width="15.5703125" style="169" customWidth="1"/>
    <col min="10248" max="10248" width="16" style="169" customWidth="1"/>
    <col min="10249" max="10251" width="0" style="169" hidden="1" customWidth="1"/>
    <col min="10252" max="10252" width="17.140625" style="169" customWidth="1"/>
    <col min="10253" max="10253" width="16.85546875" style="169" customWidth="1"/>
    <col min="10254" max="10254" width="16.5703125" style="169" customWidth="1"/>
    <col min="10255" max="10255" width="16.28515625" style="169" customWidth="1"/>
    <col min="10256" max="10258" width="0" style="169" hidden="1" customWidth="1"/>
    <col min="10259" max="10259" width="16.42578125" style="169" customWidth="1"/>
    <col min="10260" max="10260" width="17" style="169" customWidth="1"/>
    <col min="10261" max="10263" width="0" style="169" hidden="1" customWidth="1"/>
    <col min="10264" max="10264" width="16.42578125" style="169" customWidth="1"/>
    <col min="10265" max="10265" width="16.140625" style="169" customWidth="1"/>
    <col min="10266" max="10266" width="16" style="169" customWidth="1"/>
    <col min="10267" max="10267" width="16.28515625" style="169" customWidth="1"/>
    <col min="10268" max="10268" width="14.5703125" style="169" customWidth="1"/>
    <col min="10269" max="10269" width="15.85546875" style="169" customWidth="1"/>
    <col min="10270" max="10270" width="15.140625" style="169" customWidth="1"/>
    <col min="10271" max="10271" width="16" style="169" customWidth="1"/>
    <col min="10272" max="10272" width="16.5703125" style="169" customWidth="1"/>
    <col min="10273" max="10496" width="9.140625" style="169"/>
    <col min="10497" max="10497" width="8.28515625" style="169" customWidth="1"/>
    <col min="10498" max="10498" width="26.140625" style="169" customWidth="1"/>
    <col min="10499" max="10501" width="11.28515625" style="169" customWidth="1"/>
    <col min="10502" max="10502" width="10.28515625" style="169" customWidth="1"/>
    <col min="10503" max="10503" width="15.5703125" style="169" customWidth="1"/>
    <col min="10504" max="10504" width="16" style="169" customWidth="1"/>
    <col min="10505" max="10507" width="0" style="169" hidden="1" customWidth="1"/>
    <col min="10508" max="10508" width="17.140625" style="169" customWidth="1"/>
    <col min="10509" max="10509" width="16.85546875" style="169" customWidth="1"/>
    <col min="10510" max="10510" width="16.5703125" style="169" customWidth="1"/>
    <col min="10511" max="10511" width="16.28515625" style="169" customWidth="1"/>
    <col min="10512" max="10514" width="0" style="169" hidden="1" customWidth="1"/>
    <col min="10515" max="10515" width="16.42578125" style="169" customWidth="1"/>
    <col min="10516" max="10516" width="17" style="169" customWidth="1"/>
    <col min="10517" max="10519" width="0" style="169" hidden="1" customWidth="1"/>
    <col min="10520" max="10520" width="16.42578125" style="169" customWidth="1"/>
    <col min="10521" max="10521" width="16.140625" style="169" customWidth="1"/>
    <col min="10522" max="10522" width="16" style="169" customWidth="1"/>
    <col min="10523" max="10523" width="16.28515625" style="169" customWidth="1"/>
    <col min="10524" max="10524" width="14.5703125" style="169" customWidth="1"/>
    <col min="10525" max="10525" width="15.85546875" style="169" customWidth="1"/>
    <col min="10526" max="10526" width="15.140625" style="169" customWidth="1"/>
    <col min="10527" max="10527" width="16" style="169" customWidth="1"/>
    <col min="10528" max="10528" width="16.5703125" style="169" customWidth="1"/>
    <col min="10529" max="10752" width="9.140625" style="169"/>
    <col min="10753" max="10753" width="8.28515625" style="169" customWidth="1"/>
    <col min="10754" max="10754" width="26.140625" style="169" customWidth="1"/>
    <col min="10755" max="10757" width="11.28515625" style="169" customWidth="1"/>
    <col min="10758" max="10758" width="10.28515625" style="169" customWidth="1"/>
    <col min="10759" max="10759" width="15.5703125" style="169" customWidth="1"/>
    <col min="10760" max="10760" width="16" style="169" customWidth="1"/>
    <col min="10761" max="10763" width="0" style="169" hidden="1" customWidth="1"/>
    <col min="10764" max="10764" width="17.140625" style="169" customWidth="1"/>
    <col min="10765" max="10765" width="16.85546875" style="169" customWidth="1"/>
    <col min="10766" max="10766" width="16.5703125" style="169" customWidth="1"/>
    <col min="10767" max="10767" width="16.28515625" style="169" customWidth="1"/>
    <col min="10768" max="10770" width="0" style="169" hidden="1" customWidth="1"/>
    <col min="10771" max="10771" width="16.42578125" style="169" customWidth="1"/>
    <col min="10772" max="10772" width="17" style="169" customWidth="1"/>
    <col min="10773" max="10775" width="0" style="169" hidden="1" customWidth="1"/>
    <col min="10776" max="10776" width="16.42578125" style="169" customWidth="1"/>
    <col min="10777" max="10777" width="16.140625" style="169" customWidth="1"/>
    <col min="10778" max="10778" width="16" style="169" customWidth="1"/>
    <col min="10779" max="10779" width="16.28515625" style="169" customWidth="1"/>
    <col min="10780" max="10780" width="14.5703125" style="169" customWidth="1"/>
    <col min="10781" max="10781" width="15.85546875" style="169" customWidth="1"/>
    <col min="10782" max="10782" width="15.140625" style="169" customWidth="1"/>
    <col min="10783" max="10783" width="16" style="169" customWidth="1"/>
    <col min="10784" max="10784" width="16.5703125" style="169" customWidth="1"/>
    <col min="10785" max="11008" width="9.140625" style="169"/>
    <col min="11009" max="11009" width="8.28515625" style="169" customWidth="1"/>
    <col min="11010" max="11010" width="26.140625" style="169" customWidth="1"/>
    <col min="11011" max="11013" width="11.28515625" style="169" customWidth="1"/>
    <col min="11014" max="11014" width="10.28515625" style="169" customWidth="1"/>
    <col min="11015" max="11015" width="15.5703125" style="169" customWidth="1"/>
    <col min="11016" max="11016" width="16" style="169" customWidth="1"/>
    <col min="11017" max="11019" width="0" style="169" hidden="1" customWidth="1"/>
    <col min="11020" max="11020" width="17.140625" style="169" customWidth="1"/>
    <col min="11021" max="11021" width="16.85546875" style="169" customWidth="1"/>
    <col min="11022" max="11022" width="16.5703125" style="169" customWidth="1"/>
    <col min="11023" max="11023" width="16.28515625" style="169" customWidth="1"/>
    <col min="11024" max="11026" width="0" style="169" hidden="1" customWidth="1"/>
    <col min="11027" max="11027" width="16.42578125" style="169" customWidth="1"/>
    <col min="11028" max="11028" width="17" style="169" customWidth="1"/>
    <col min="11029" max="11031" width="0" style="169" hidden="1" customWidth="1"/>
    <col min="11032" max="11032" width="16.42578125" style="169" customWidth="1"/>
    <col min="11033" max="11033" width="16.140625" style="169" customWidth="1"/>
    <col min="11034" max="11034" width="16" style="169" customWidth="1"/>
    <col min="11035" max="11035" width="16.28515625" style="169" customWidth="1"/>
    <col min="11036" max="11036" width="14.5703125" style="169" customWidth="1"/>
    <col min="11037" max="11037" width="15.85546875" style="169" customWidth="1"/>
    <col min="11038" max="11038" width="15.140625" style="169" customWidth="1"/>
    <col min="11039" max="11039" width="16" style="169" customWidth="1"/>
    <col min="11040" max="11040" width="16.5703125" style="169" customWidth="1"/>
    <col min="11041" max="11264" width="9.140625" style="169"/>
    <col min="11265" max="11265" width="8.28515625" style="169" customWidth="1"/>
    <col min="11266" max="11266" width="26.140625" style="169" customWidth="1"/>
    <col min="11267" max="11269" width="11.28515625" style="169" customWidth="1"/>
    <col min="11270" max="11270" width="10.28515625" style="169" customWidth="1"/>
    <col min="11271" max="11271" width="15.5703125" style="169" customWidth="1"/>
    <col min="11272" max="11272" width="16" style="169" customWidth="1"/>
    <col min="11273" max="11275" width="0" style="169" hidden="1" customWidth="1"/>
    <col min="11276" max="11276" width="17.140625" style="169" customWidth="1"/>
    <col min="11277" max="11277" width="16.85546875" style="169" customWidth="1"/>
    <col min="11278" max="11278" width="16.5703125" style="169" customWidth="1"/>
    <col min="11279" max="11279" width="16.28515625" style="169" customWidth="1"/>
    <col min="11280" max="11282" width="0" style="169" hidden="1" customWidth="1"/>
    <col min="11283" max="11283" width="16.42578125" style="169" customWidth="1"/>
    <col min="11284" max="11284" width="17" style="169" customWidth="1"/>
    <col min="11285" max="11287" width="0" style="169" hidden="1" customWidth="1"/>
    <col min="11288" max="11288" width="16.42578125" style="169" customWidth="1"/>
    <col min="11289" max="11289" width="16.140625" style="169" customWidth="1"/>
    <col min="11290" max="11290" width="16" style="169" customWidth="1"/>
    <col min="11291" max="11291" width="16.28515625" style="169" customWidth="1"/>
    <col min="11292" max="11292" width="14.5703125" style="169" customWidth="1"/>
    <col min="11293" max="11293" width="15.85546875" style="169" customWidth="1"/>
    <col min="11294" max="11294" width="15.140625" style="169" customWidth="1"/>
    <col min="11295" max="11295" width="16" style="169" customWidth="1"/>
    <col min="11296" max="11296" width="16.5703125" style="169" customWidth="1"/>
    <col min="11297" max="11520" width="9.140625" style="169"/>
    <col min="11521" max="11521" width="8.28515625" style="169" customWidth="1"/>
    <col min="11522" max="11522" width="26.140625" style="169" customWidth="1"/>
    <col min="11523" max="11525" width="11.28515625" style="169" customWidth="1"/>
    <col min="11526" max="11526" width="10.28515625" style="169" customWidth="1"/>
    <col min="11527" max="11527" width="15.5703125" style="169" customWidth="1"/>
    <col min="11528" max="11528" width="16" style="169" customWidth="1"/>
    <col min="11529" max="11531" width="0" style="169" hidden="1" customWidth="1"/>
    <col min="11532" max="11532" width="17.140625" style="169" customWidth="1"/>
    <col min="11533" max="11533" width="16.85546875" style="169" customWidth="1"/>
    <col min="11534" max="11534" width="16.5703125" style="169" customWidth="1"/>
    <col min="11535" max="11535" width="16.28515625" style="169" customWidth="1"/>
    <col min="11536" max="11538" width="0" style="169" hidden="1" customWidth="1"/>
    <col min="11539" max="11539" width="16.42578125" style="169" customWidth="1"/>
    <col min="11540" max="11540" width="17" style="169" customWidth="1"/>
    <col min="11541" max="11543" width="0" style="169" hidden="1" customWidth="1"/>
    <col min="11544" max="11544" width="16.42578125" style="169" customWidth="1"/>
    <col min="11545" max="11545" width="16.140625" style="169" customWidth="1"/>
    <col min="11546" max="11546" width="16" style="169" customWidth="1"/>
    <col min="11547" max="11547" width="16.28515625" style="169" customWidth="1"/>
    <col min="11548" max="11548" width="14.5703125" style="169" customWidth="1"/>
    <col min="11549" max="11549" width="15.85546875" style="169" customWidth="1"/>
    <col min="11550" max="11550" width="15.140625" style="169" customWidth="1"/>
    <col min="11551" max="11551" width="16" style="169" customWidth="1"/>
    <col min="11552" max="11552" width="16.5703125" style="169" customWidth="1"/>
    <col min="11553" max="11776" width="9.140625" style="169"/>
    <col min="11777" max="11777" width="8.28515625" style="169" customWidth="1"/>
    <col min="11778" max="11778" width="26.140625" style="169" customWidth="1"/>
    <col min="11779" max="11781" width="11.28515625" style="169" customWidth="1"/>
    <col min="11782" max="11782" width="10.28515625" style="169" customWidth="1"/>
    <col min="11783" max="11783" width="15.5703125" style="169" customWidth="1"/>
    <col min="11784" max="11784" width="16" style="169" customWidth="1"/>
    <col min="11785" max="11787" width="0" style="169" hidden="1" customWidth="1"/>
    <col min="11788" max="11788" width="17.140625" style="169" customWidth="1"/>
    <col min="11789" max="11789" width="16.85546875" style="169" customWidth="1"/>
    <col min="11790" max="11790" width="16.5703125" style="169" customWidth="1"/>
    <col min="11791" max="11791" width="16.28515625" style="169" customWidth="1"/>
    <col min="11792" max="11794" width="0" style="169" hidden="1" customWidth="1"/>
    <col min="11795" max="11795" width="16.42578125" style="169" customWidth="1"/>
    <col min="11796" max="11796" width="17" style="169" customWidth="1"/>
    <col min="11797" max="11799" width="0" style="169" hidden="1" customWidth="1"/>
    <col min="11800" max="11800" width="16.42578125" style="169" customWidth="1"/>
    <col min="11801" max="11801" width="16.140625" style="169" customWidth="1"/>
    <col min="11802" max="11802" width="16" style="169" customWidth="1"/>
    <col min="11803" max="11803" width="16.28515625" style="169" customWidth="1"/>
    <col min="11804" max="11804" width="14.5703125" style="169" customWidth="1"/>
    <col min="11805" max="11805" width="15.85546875" style="169" customWidth="1"/>
    <col min="11806" max="11806" width="15.140625" style="169" customWidth="1"/>
    <col min="11807" max="11807" width="16" style="169" customWidth="1"/>
    <col min="11808" max="11808" width="16.5703125" style="169" customWidth="1"/>
    <col min="11809" max="12032" width="9.140625" style="169"/>
    <col min="12033" max="12033" width="8.28515625" style="169" customWidth="1"/>
    <col min="12034" max="12034" width="26.140625" style="169" customWidth="1"/>
    <col min="12035" max="12037" width="11.28515625" style="169" customWidth="1"/>
    <col min="12038" max="12038" width="10.28515625" style="169" customWidth="1"/>
    <col min="12039" max="12039" width="15.5703125" style="169" customWidth="1"/>
    <col min="12040" max="12040" width="16" style="169" customWidth="1"/>
    <col min="12041" max="12043" width="0" style="169" hidden="1" customWidth="1"/>
    <col min="12044" max="12044" width="17.140625" style="169" customWidth="1"/>
    <col min="12045" max="12045" width="16.85546875" style="169" customWidth="1"/>
    <col min="12046" max="12046" width="16.5703125" style="169" customWidth="1"/>
    <col min="12047" max="12047" width="16.28515625" style="169" customWidth="1"/>
    <col min="12048" max="12050" width="0" style="169" hidden="1" customWidth="1"/>
    <col min="12051" max="12051" width="16.42578125" style="169" customWidth="1"/>
    <col min="12052" max="12052" width="17" style="169" customWidth="1"/>
    <col min="12053" max="12055" width="0" style="169" hidden="1" customWidth="1"/>
    <col min="12056" max="12056" width="16.42578125" style="169" customWidth="1"/>
    <col min="12057" max="12057" width="16.140625" style="169" customWidth="1"/>
    <col min="12058" max="12058" width="16" style="169" customWidth="1"/>
    <col min="12059" max="12059" width="16.28515625" style="169" customWidth="1"/>
    <col min="12060" max="12060" width="14.5703125" style="169" customWidth="1"/>
    <col min="12061" max="12061" width="15.85546875" style="169" customWidth="1"/>
    <col min="12062" max="12062" width="15.140625" style="169" customWidth="1"/>
    <col min="12063" max="12063" width="16" style="169" customWidth="1"/>
    <col min="12064" max="12064" width="16.5703125" style="169" customWidth="1"/>
    <col min="12065" max="12288" width="9.140625" style="169"/>
    <col min="12289" max="12289" width="8.28515625" style="169" customWidth="1"/>
    <col min="12290" max="12290" width="26.140625" style="169" customWidth="1"/>
    <col min="12291" max="12293" width="11.28515625" style="169" customWidth="1"/>
    <col min="12294" max="12294" width="10.28515625" style="169" customWidth="1"/>
    <col min="12295" max="12295" width="15.5703125" style="169" customWidth="1"/>
    <col min="12296" max="12296" width="16" style="169" customWidth="1"/>
    <col min="12297" max="12299" width="0" style="169" hidden="1" customWidth="1"/>
    <col min="12300" max="12300" width="17.140625" style="169" customWidth="1"/>
    <col min="12301" max="12301" width="16.85546875" style="169" customWidth="1"/>
    <col min="12302" max="12302" width="16.5703125" style="169" customWidth="1"/>
    <col min="12303" max="12303" width="16.28515625" style="169" customWidth="1"/>
    <col min="12304" max="12306" width="0" style="169" hidden="1" customWidth="1"/>
    <col min="12307" max="12307" width="16.42578125" style="169" customWidth="1"/>
    <col min="12308" max="12308" width="17" style="169" customWidth="1"/>
    <col min="12309" max="12311" width="0" style="169" hidden="1" customWidth="1"/>
    <col min="12312" max="12312" width="16.42578125" style="169" customWidth="1"/>
    <col min="12313" max="12313" width="16.140625" style="169" customWidth="1"/>
    <col min="12314" max="12314" width="16" style="169" customWidth="1"/>
    <col min="12315" max="12315" width="16.28515625" style="169" customWidth="1"/>
    <col min="12316" max="12316" width="14.5703125" style="169" customWidth="1"/>
    <col min="12317" max="12317" width="15.85546875" style="169" customWidth="1"/>
    <col min="12318" max="12318" width="15.140625" style="169" customWidth="1"/>
    <col min="12319" max="12319" width="16" style="169" customWidth="1"/>
    <col min="12320" max="12320" width="16.5703125" style="169" customWidth="1"/>
    <col min="12321" max="12544" width="9.140625" style="169"/>
    <col min="12545" max="12545" width="8.28515625" style="169" customWidth="1"/>
    <col min="12546" max="12546" width="26.140625" style="169" customWidth="1"/>
    <col min="12547" max="12549" width="11.28515625" style="169" customWidth="1"/>
    <col min="12550" max="12550" width="10.28515625" style="169" customWidth="1"/>
    <col min="12551" max="12551" width="15.5703125" style="169" customWidth="1"/>
    <col min="12552" max="12552" width="16" style="169" customWidth="1"/>
    <col min="12553" max="12555" width="0" style="169" hidden="1" customWidth="1"/>
    <col min="12556" max="12556" width="17.140625" style="169" customWidth="1"/>
    <col min="12557" max="12557" width="16.85546875" style="169" customWidth="1"/>
    <col min="12558" max="12558" width="16.5703125" style="169" customWidth="1"/>
    <col min="12559" max="12559" width="16.28515625" style="169" customWidth="1"/>
    <col min="12560" max="12562" width="0" style="169" hidden="1" customWidth="1"/>
    <col min="12563" max="12563" width="16.42578125" style="169" customWidth="1"/>
    <col min="12564" max="12564" width="17" style="169" customWidth="1"/>
    <col min="12565" max="12567" width="0" style="169" hidden="1" customWidth="1"/>
    <col min="12568" max="12568" width="16.42578125" style="169" customWidth="1"/>
    <col min="12569" max="12569" width="16.140625" style="169" customWidth="1"/>
    <col min="12570" max="12570" width="16" style="169" customWidth="1"/>
    <col min="12571" max="12571" width="16.28515625" style="169" customWidth="1"/>
    <col min="12572" max="12572" width="14.5703125" style="169" customWidth="1"/>
    <col min="12573" max="12573" width="15.85546875" style="169" customWidth="1"/>
    <col min="12574" max="12574" width="15.140625" style="169" customWidth="1"/>
    <col min="12575" max="12575" width="16" style="169" customWidth="1"/>
    <col min="12576" max="12576" width="16.5703125" style="169" customWidth="1"/>
    <col min="12577" max="12800" width="9.140625" style="169"/>
    <col min="12801" max="12801" width="8.28515625" style="169" customWidth="1"/>
    <col min="12802" max="12802" width="26.140625" style="169" customWidth="1"/>
    <col min="12803" max="12805" width="11.28515625" style="169" customWidth="1"/>
    <col min="12806" max="12806" width="10.28515625" style="169" customWidth="1"/>
    <col min="12807" max="12807" width="15.5703125" style="169" customWidth="1"/>
    <col min="12808" max="12808" width="16" style="169" customWidth="1"/>
    <col min="12809" max="12811" width="0" style="169" hidden="1" customWidth="1"/>
    <col min="12812" max="12812" width="17.140625" style="169" customWidth="1"/>
    <col min="12813" max="12813" width="16.85546875" style="169" customWidth="1"/>
    <col min="12814" max="12814" width="16.5703125" style="169" customWidth="1"/>
    <col min="12815" max="12815" width="16.28515625" style="169" customWidth="1"/>
    <col min="12816" max="12818" width="0" style="169" hidden="1" customWidth="1"/>
    <col min="12819" max="12819" width="16.42578125" style="169" customWidth="1"/>
    <col min="12820" max="12820" width="17" style="169" customWidth="1"/>
    <col min="12821" max="12823" width="0" style="169" hidden="1" customWidth="1"/>
    <col min="12824" max="12824" width="16.42578125" style="169" customWidth="1"/>
    <col min="12825" max="12825" width="16.140625" style="169" customWidth="1"/>
    <col min="12826" max="12826" width="16" style="169" customWidth="1"/>
    <col min="12827" max="12827" width="16.28515625" style="169" customWidth="1"/>
    <col min="12828" max="12828" width="14.5703125" style="169" customWidth="1"/>
    <col min="12829" max="12829" width="15.85546875" style="169" customWidth="1"/>
    <col min="12830" max="12830" width="15.140625" style="169" customWidth="1"/>
    <col min="12831" max="12831" width="16" style="169" customWidth="1"/>
    <col min="12832" max="12832" width="16.5703125" style="169" customWidth="1"/>
    <col min="12833" max="13056" width="9.140625" style="169"/>
    <col min="13057" max="13057" width="8.28515625" style="169" customWidth="1"/>
    <col min="13058" max="13058" width="26.140625" style="169" customWidth="1"/>
    <col min="13059" max="13061" width="11.28515625" style="169" customWidth="1"/>
    <col min="13062" max="13062" width="10.28515625" style="169" customWidth="1"/>
    <col min="13063" max="13063" width="15.5703125" style="169" customWidth="1"/>
    <col min="13064" max="13064" width="16" style="169" customWidth="1"/>
    <col min="13065" max="13067" width="0" style="169" hidden="1" customWidth="1"/>
    <col min="13068" max="13068" width="17.140625" style="169" customWidth="1"/>
    <col min="13069" max="13069" width="16.85546875" style="169" customWidth="1"/>
    <col min="13070" max="13070" width="16.5703125" style="169" customWidth="1"/>
    <col min="13071" max="13071" width="16.28515625" style="169" customWidth="1"/>
    <col min="13072" max="13074" width="0" style="169" hidden="1" customWidth="1"/>
    <col min="13075" max="13075" width="16.42578125" style="169" customWidth="1"/>
    <col min="13076" max="13076" width="17" style="169" customWidth="1"/>
    <col min="13077" max="13079" width="0" style="169" hidden="1" customWidth="1"/>
    <col min="13080" max="13080" width="16.42578125" style="169" customWidth="1"/>
    <col min="13081" max="13081" width="16.140625" style="169" customWidth="1"/>
    <col min="13082" max="13082" width="16" style="169" customWidth="1"/>
    <col min="13083" max="13083" width="16.28515625" style="169" customWidth="1"/>
    <col min="13084" max="13084" width="14.5703125" style="169" customWidth="1"/>
    <col min="13085" max="13085" width="15.85546875" style="169" customWidth="1"/>
    <col min="13086" max="13086" width="15.140625" style="169" customWidth="1"/>
    <col min="13087" max="13087" width="16" style="169" customWidth="1"/>
    <col min="13088" max="13088" width="16.5703125" style="169" customWidth="1"/>
    <col min="13089" max="13312" width="9.140625" style="169"/>
    <col min="13313" max="13313" width="8.28515625" style="169" customWidth="1"/>
    <col min="13314" max="13314" width="26.140625" style="169" customWidth="1"/>
    <col min="13315" max="13317" width="11.28515625" style="169" customWidth="1"/>
    <col min="13318" max="13318" width="10.28515625" style="169" customWidth="1"/>
    <col min="13319" max="13319" width="15.5703125" style="169" customWidth="1"/>
    <col min="13320" max="13320" width="16" style="169" customWidth="1"/>
    <col min="13321" max="13323" width="0" style="169" hidden="1" customWidth="1"/>
    <col min="13324" max="13324" width="17.140625" style="169" customWidth="1"/>
    <col min="13325" max="13325" width="16.85546875" style="169" customWidth="1"/>
    <col min="13326" max="13326" width="16.5703125" style="169" customWidth="1"/>
    <col min="13327" max="13327" width="16.28515625" style="169" customWidth="1"/>
    <col min="13328" max="13330" width="0" style="169" hidden="1" customWidth="1"/>
    <col min="13331" max="13331" width="16.42578125" style="169" customWidth="1"/>
    <col min="13332" max="13332" width="17" style="169" customWidth="1"/>
    <col min="13333" max="13335" width="0" style="169" hidden="1" customWidth="1"/>
    <col min="13336" max="13336" width="16.42578125" style="169" customWidth="1"/>
    <col min="13337" max="13337" width="16.140625" style="169" customWidth="1"/>
    <col min="13338" max="13338" width="16" style="169" customWidth="1"/>
    <col min="13339" max="13339" width="16.28515625" style="169" customWidth="1"/>
    <col min="13340" max="13340" width="14.5703125" style="169" customWidth="1"/>
    <col min="13341" max="13341" width="15.85546875" style="169" customWidth="1"/>
    <col min="13342" max="13342" width="15.140625" style="169" customWidth="1"/>
    <col min="13343" max="13343" width="16" style="169" customWidth="1"/>
    <col min="13344" max="13344" width="16.5703125" style="169" customWidth="1"/>
    <col min="13345" max="13568" width="9.140625" style="169"/>
    <col min="13569" max="13569" width="8.28515625" style="169" customWidth="1"/>
    <col min="13570" max="13570" width="26.140625" style="169" customWidth="1"/>
    <col min="13571" max="13573" width="11.28515625" style="169" customWidth="1"/>
    <col min="13574" max="13574" width="10.28515625" style="169" customWidth="1"/>
    <col min="13575" max="13575" width="15.5703125" style="169" customWidth="1"/>
    <col min="13576" max="13576" width="16" style="169" customWidth="1"/>
    <col min="13577" max="13579" width="0" style="169" hidden="1" customWidth="1"/>
    <col min="13580" max="13580" width="17.140625" style="169" customWidth="1"/>
    <col min="13581" max="13581" width="16.85546875" style="169" customWidth="1"/>
    <col min="13582" max="13582" width="16.5703125" style="169" customWidth="1"/>
    <col min="13583" max="13583" width="16.28515625" style="169" customWidth="1"/>
    <col min="13584" max="13586" width="0" style="169" hidden="1" customWidth="1"/>
    <col min="13587" max="13587" width="16.42578125" style="169" customWidth="1"/>
    <col min="13588" max="13588" width="17" style="169" customWidth="1"/>
    <col min="13589" max="13591" width="0" style="169" hidden="1" customWidth="1"/>
    <col min="13592" max="13592" width="16.42578125" style="169" customWidth="1"/>
    <col min="13593" max="13593" width="16.140625" style="169" customWidth="1"/>
    <col min="13594" max="13594" width="16" style="169" customWidth="1"/>
    <col min="13595" max="13595" width="16.28515625" style="169" customWidth="1"/>
    <col min="13596" max="13596" width="14.5703125" style="169" customWidth="1"/>
    <col min="13597" max="13597" width="15.85546875" style="169" customWidth="1"/>
    <col min="13598" max="13598" width="15.140625" style="169" customWidth="1"/>
    <col min="13599" max="13599" width="16" style="169" customWidth="1"/>
    <col min="13600" max="13600" width="16.5703125" style="169" customWidth="1"/>
    <col min="13601" max="13824" width="9.140625" style="169"/>
    <col min="13825" max="13825" width="8.28515625" style="169" customWidth="1"/>
    <col min="13826" max="13826" width="26.140625" style="169" customWidth="1"/>
    <col min="13827" max="13829" width="11.28515625" style="169" customWidth="1"/>
    <col min="13830" max="13830" width="10.28515625" style="169" customWidth="1"/>
    <col min="13831" max="13831" width="15.5703125" style="169" customWidth="1"/>
    <col min="13832" max="13832" width="16" style="169" customWidth="1"/>
    <col min="13833" max="13835" width="0" style="169" hidden="1" customWidth="1"/>
    <col min="13836" max="13836" width="17.140625" style="169" customWidth="1"/>
    <col min="13837" max="13837" width="16.85546875" style="169" customWidth="1"/>
    <col min="13838" max="13838" width="16.5703125" style="169" customWidth="1"/>
    <col min="13839" max="13839" width="16.28515625" style="169" customWidth="1"/>
    <col min="13840" max="13842" width="0" style="169" hidden="1" customWidth="1"/>
    <col min="13843" max="13843" width="16.42578125" style="169" customWidth="1"/>
    <col min="13844" max="13844" width="17" style="169" customWidth="1"/>
    <col min="13845" max="13847" width="0" style="169" hidden="1" customWidth="1"/>
    <col min="13848" max="13848" width="16.42578125" style="169" customWidth="1"/>
    <col min="13849" max="13849" width="16.140625" style="169" customWidth="1"/>
    <col min="13850" max="13850" width="16" style="169" customWidth="1"/>
    <col min="13851" max="13851" width="16.28515625" style="169" customWidth="1"/>
    <col min="13852" max="13852" width="14.5703125" style="169" customWidth="1"/>
    <col min="13853" max="13853" width="15.85546875" style="169" customWidth="1"/>
    <col min="13854" max="13854" width="15.140625" style="169" customWidth="1"/>
    <col min="13855" max="13855" width="16" style="169" customWidth="1"/>
    <col min="13856" max="13856" width="16.5703125" style="169" customWidth="1"/>
    <col min="13857" max="14080" width="9.140625" style="169"/>
    <col min="14081" max="14081" width="8.28515625" style="169" customWidth="1"/>
    <col min="14082" max="14082" width="26.140625" style="169" customWidth="1"/>
    <col min="14083" max="14085" width="11.28515625" style="169" customWidth="1"/>
    <col min="14086" max="14086" width="10.28515625" style="169" customWidth="1"/>
    <col min="14087" max="14087" width="15.5703125" style="169" customWidth="1"/>
    <col min="14088" max="14088" width="16" style="169" customWidth="1"/>
    <col min="14089" max="14091" width="0" style="169" hidden="1" customWidth="1"/>
    <col min="14092" max="14092" width="17.140625" style="169" customWidth="1"/>
    <col min="14093" max="14093" width="16.85546875" style="169" customWidth="1"/>
    <col min="14094" max="14094" width="16.5703125" style="169" customWidth="1"/>
    <col min="14095" max="14095" width="16.28515625" style="169" customWidth="1"/>
    <col min="14096" max="14098" width="0" style="169" hidden="1" customWidth="1"/>
    <col min="14099" max="14099" width="16.42578125" style="169" customWidth="1"/>
    <col min="14100" max="14100" width="17" style="169" customWidth="1"/>
    <col min="14101" max="14103" width="0" style="169" hidden="1" customWidth="1"/>
    <col min="14104" max="14104" width="16.42578125" style="169" customWidth="1"/>
    <col min="14105" max="14105" width="16.140625" style="169" customWidth="1"/>
    <col min="14106" max="14106" width="16" style="169" customWidth="1"/>
    <col min="14107" max="14107" width="16.28515625" style="169" customWidth="1"/>
    <col min="14108" max="14108" width="14.5703125" style="169" customWidth="1"/>
    <col min="14109" max="14109" width="15.85546875" style="169" customWidth="1"/>
    <col min="14110" max="14110" width="15.140625" style="169" customWidth="1"/>
    <col min="14111" max="14111" width="16" style="169" customWidth="1"/>
    <col min="14112" max="14112" width="16.5703125" style="169" customWidth="1"/>
    <col min="14113" max="14336" width="9.140625" style="169"/>
    <col min="14337" max="14337" width="8.28515625" style="169" customWidth="1"/>
    <col min="14338" max="14338" width="26.140625" style="169" customWidth="1"/>
    <col min="14339" max="14341" width="11.28515625" style="169" customWidth="1"/>
    <col min="14342" max="14342" width="10.28515625" style="169" customWidth="1"/>
    <col min="14343" max="14343" width="15.5703125" style="169" customWidth="1"/>
    <col min="14344" max="14344" width="16" style="169" customWidth="1"/>
    <col min="14345" max="14347" width="0" style="169" hidden="1" customWidth="1"/>
    <col min="14348" max="14348" width="17.140625" style="169" customWidth="1"/>
    <col min="14349" max="14349" width="16.85546875" style="169" customWidth="1"/>
    <col min="14350" max="14350" width="16.5703125" style="169" customWidth="1"/>
    <col min="14351" max="14351" width="16.28515625" style="169" customWidth="1"/>
    <col min="14352" max="14354" width="0" style="169" hidden="1" customWidth="1"/>
    <col min="14355" max="14355" width="16.42578125" style="169" customWidth="1"/>
    <col min="14356" max="14356" width="17" style="169" customWidth="1"/>
    <col min="14357" max="14359" width="0" style="169" hidden="1" customWidth="1"/>
    <col min="14360" max="14360" width="16.42578125" style="169" customWidth="1"/>
    <col min="14361" max="14361" width="16.140625" style="169" customWidth="1"/>
    <col min="14362" max="14362" width="16" style="169" customWidth="1"/>
    <col min="14363" max="14363" width="16.28515625" style="169" customWidth="1"/>
    <col min="14364" max="14364" width="14.5703125" style="169" customWidth="1"/>
    <col min="14365" max="14365" width="15.85546875" style="169" customWidth="1"/>
    <col min="14366" max="14366" width="15.140625" style="169" customWidth="1"/>
    <col min="14367" max="14367" width="16" style="169" customWidth="1"/>
    <col min="14368" max="14368" width="16.5703125" style="169" customWidth="1"/>
    <col min="14369" max="14592" width="9.140625" style="169"/>
    <col min="14593" max="14593" width="8.28515625" style="169" customWidth="1"/>
    <col min="14594" max="14594" width="26.140625" style="169" customWidth="1"/>
    <col min="14595" max="14597" width="11.28515625" style="169" customWidth="1"/>
    <col min="14598" max="14598" width="10.28515625" style="169" customWidth="1"/>
    <col min="14599" max="14599" width="15.5703125" style="169" customWidth="1"/>
    <col min="14600" max="14600" width="16" style="169" customWidth="1"/>
    <col min="14601" max="14603" width="0" style="169" hidden="1" customWidth="1"/>
    <col min="14604" max="14604" width="17.140625" style="169" customWidth="1"/>
    <col min="14605" max="14605" width="16.85546875" style="169" customWidth="1"/>
    <col min="14606" max="14606" width="16.5703125" style="169" customWidth="1"/>
    <col min="14607" max="14607" width="16.28515625" style="169" customWidth="1"/>
    <col min="14608" max="14610" width="0" style="169" hidden="1" customWidth="1"/>
    <col min="14611" max="14611" width="16.42578125" style="169" customWidth="1"/>
    <col min="14612" max="14612" width="17" style="169" customWidth="1"/>
    <col min="14613" max="14615" width="0" style="169" hidden="1" customWidth="1"/>
    <col min="14616" max="14616" width="16.42578125" style="169" customWidth="1"/>
    <col min="14617" max="14617" width="16.140625" style="169" customWidth="1"/>
    <col min="14618" max="14618" width="16" style="169" customWidth="1"/>
    <col min="14619" max="14619" width="16.28515625" style="169" customWidth="1"/>
    <col min="14620" max="14620" width="14.5703125" style="169" customWidth="1"/>
    <col min="14621" max="14621" width="15.85546875" style="169" customWidth="1"/>
    <col min="14622" max="14622" width="15.140625" style="169" customWidth="1"/>
    <col min="14623" max="14623" width="16" style="169" customWidth="1"/>
    <col min="14624" max="14624" width="16.5703125" style="169" customWidth="1"/>
    <col min="14625" max="14848" width="9.140625" style="169"/>
    <col min="14849" max="14849" width="8.28515625" style="169" customWidth="1"/>
    <col min="14850" max="14850" width="26.140625" style="169" customWidth="1"/>
    <col min="14851" max="14853" width="11.28515625" style="169" customWidth="1"/>
    <col min="14854" max="14854" width="10.28515625" style="169" customWidth="1"/>
    <col min="14855" max="14855" width="15.5703125" style="169" customWidth="1"/>
    <col min="14856" max="14856" width="16" style="169" customWidth="1"/>
    <col min="14857" max="14859" width="0" style="169" hidden="1" customWidth="1"/>
    <col min="14860" max="14860" width="17.140625" style="169" customWidth="1"/>
    <col min="14861" max="14861" width="16.85546875" style="169" customWidth="1"/>
    <col min="14862" max="14862" width="16.5703125" style="169" customWidth="1"/>
    <col min="14863" max="14863" width="16.28515625" style="169" customWidth="1"/>
    <col min="14864" max="14866" width="0" style="169" hidden="1" customWidth="1"/>
    <col min="14867" max="14867" width="16.42578125" style="169" customWidth="1"/>
    <col min="14868" max="14868" width="17" style="169" customWidth="1"/>
    <col min="14869" max="14871" width="0" style="169" hidden="1" customWidth="1"/>
    <col min="14872" max="14872" width="16.42578125" style="169" customWidth="1"/>
    <col min="14873" max="14873" width="16.140625" style="169" customWidth="1"/>
    <col min="14874" max="14874" width="16" style="169" customWidth="1"/>
    <col min="14875" max="14875" width="16.28515625" style="169" customWidth="1"/>
    <col min="14876" max="14876" width="14.5703125" style="169" customWidth="1"/>
    <col min="14877" max="14877" width="15.85546875" style="169" customWidth="1"/>
    <col min="14878" max="14878" width="15.140625" style="169" customWidth="1"/>
    <col min="14879" max="14879" width="16" style="169" customWidth="1"/>
    <col min="14880" max="14880" width="16.5703125" style="169" customWidth="1"/>
    <col min="14881" max="15104" width="9.140625" style="169"/>
    <col min="15105" max="15105" width="8.28515625" style="169" customWidth="1"/>
    <col min="15106" max="15106" width="26.140625" style="169" customWidth="1"/>
    <col min="15107" max="15109" width="11.28515625" style="169" customWidth="1"/>
    <col min="15110" max="15110" width="10.28515625" style="169" customWidth="1"/>
    <col min="15111" max="15111" width="15.5703125" style="169" customWidth="1"/>
    <col min="15112" max="15112" width="16" style="169" customWidth="1"/>
    <col min="15113" max="15115" width="0" style="169" hidden="1" customWidth="1"/>
    <col min="15116" max="15116" width="17.140625" style="169" customWidth="1"/>
    <col min="15117" max="15117" width="16.85546875" style="169" customWidth="1"/>
    <col min="15118" max="15118" width="16.5703125" style="169" customWidth="1"/>
    <col min="15119" max="15119" width="16.28515625" style="169" customWidth="1"/>
    <col min="15120" max="15122" width="0" style="169" hidden="1" customWidth="1"/>
    <col min="15123" max="15123" width="16.42578125" style="169" customWidth="1"/>
    <col min="15124" max="15124" width="17" style="169" customWidth="1"/>
    <col min="15125" max="15127" width="0" style="169" hidden="1" customWidth="1"/>
    <col min="15128" max="15128" width="16.42578125" style="169" customWidth="1"/>
    <col min="15129" max="15129" width="16.140625" style="169" customWidth="1"/>
    <col min="15130" max="15130" width="16" style="169" customWidth="1"/>
    <col min="15131" max="15131" width="16.28515625" style="169" customWidth="1"/>
    <col min="15132" max="15132" width="14.5703125" style="169" customWidth="1"/>
    <col min="15133" max="15133" width="15.85546875" style="169" customWidth="1"/>
    <col min="15134" max="15134" width="15.140625" style="169" customWidth="1"/>
    <col min="15135" max="15135" width="16" style="169" customWidth="1"/>
    <col min="15136" max="15136" width="16.5703125" style="169" customWidth="1"/>
    <col min="15137" max="15360" width="9.140625" style="169"/>
    <col min="15361" max="15361" width="8.28515625" style="169" customWidth="1"/>
    <col min="15362" max="15362" width="26.140625" style="169" customWidth="1"/>
    <col min="15363" max="15365" width="11.28515625" style="169" customWidth="1"/>
    <col min="15366" max="15366" width="10.28515625" style="169" customWidth="1"/>
    <col min="15367" max="15367" width="15.5703125" style="169" customWidth="1"/>
    <col min="15368" max="15368" width="16" style="169" customWidth="1"/>
    <col min="15369" max="15371" width="0" style="169" hidden="1" customWidth="1"/>
    <col min="15372" max="15372" width="17.140625" style="169" customWidth="1"/>
    <col min="15373" max="15373" width="16.85546875" style="169" customWidth="1"/>
    <col min="15374" max="15374" width="16.5703125" style="169" customWidth="1"/>
    <col min="15375" max="15375" width="16.28515625" style="169" customWidth="1"/>
    <col min="15376" max="15378" width="0" style="169" hidden="1" customWidth="1"/>
    <col min="15379" max="15379" width="16.42578125" style="169" customWidth="1"/>
    <col min="15380" max="15380" width="17" style="169" customWidth="1"/>
    <col min="15381" max="15383" width="0" style="169" hidden="1" customWidth="1"/>
    <col min="15384" max="15384" width="16.42578125" style="169" customWidth="1"/>
    <col min="15385" max="15385" width="16.140625" style="169" customWidth="1"/>
    <col min="15386" max="15386" width="16" style="169" customWidth="1"/>
    <col min="15387" max="15387" width="16.28515625" style="169" customWidth="1"/>
    <col min="15388" max="15388" width="14.5703125" style="169" customWidth="1"/>
    <col min="15389" max="15389" width="15.85546875" style="169" customWidth="1"/>
    <col min="15390" max="15390" width="15.140625" style="169" customWidth="1"/>
    <col min="15391" max="15391" width="16" style="169" customWidth="1"/>
    <col min="15392" max="15392" width="16.5703125" style="169" customWidth="1"/>
    <col min="15393" max="15616" width="9.140625" style="169"/>
    <col min="15617" max="15617" width="8.28515625" style="169" customWidth="1"/>
    <col min="15618" max="15618" width="26.140625" style="169" customWidth="1"/>
    <col min="15619" max="15621" width="11.28515625" style="169" customWidth="1"/>
    <col min="15622" max="15622" width="10.28515625" style="169" customWidth="1"/>
    <col min="15623" max="15623" width="15.5703125" style="169" customWidth="1"/>
    <col min="15624" max="15624" width="16" style="169" customWidth="1"/>
    <col min="15625" max="15627" width="0" style="169" hidden="1" customWidth="1"/>
    <col min="15628" max="15628" width="17.140625" style="169" customWidth="1"/>
    <col min="15629" max="15629" width="16.85546875" style="169" customWidth="1"/>
    <col min="15630" max="15630" width="16.5703125" style="169" customWidth="1"/>
    <col min="15631" max="15631" width="16.28515625" style="169" customWidth="1"/>
    <col min="15632" max="15634" width="0" style="169" hidden="1" customWidth="1"/>
    <col min="15635" max="15635" width="16.42578125" style="169" customWidth="1"/>
    <col min="15636" max="15636" width="17" style="169" customWidth="1"/>
    <col min="15637" max="15639" width="0" style="169" hidden="1" customWidth="1"/>
    <col min="15640" max="15640" width="16.42578125" style="169" customWidth="1"/>
    <col min="15641" max="15641" width="16.140625" style="169" customWidth="1"/>
    <col min="15642" max="15642" width="16" style="169" customWidth="1"/>
    <col min="15643" max="15643" width="16.28515625" style="169" customWidth="1"/>
    <col min="15644" max="15644" width="14.5703125" style="169" customWidth="1"/>
    <col min="15645" max="15645" width="15.85546875" style="169" customWidth="1"/>
    <col min="15646" max="15646" width="15.140625" style="169" customWidth="1"/>
    <col min="15647" max="15647" width="16" style="169" customWidth="1"/>
    <col min="15648" max="15648" width="16.5703125" style="169" customWidth="1"/>
    <col min="15649" max="15872" width="9.140625" style="169"/>
    <col min="15873" max="15873" width="8.28515625" style="169" customWidth="1"/>
    <col min="15874" max="15874" width="26.140625" style="169" customWidth="1"/>
    <col min="15875" max="15877" width="11.28515625" style="169" customWidth="1"/>
    <col min="15878" max="15878" width="10.28515625" style="169" customWidth="1"/>
    <col min="15879" max="15879" width="15.5703125" style="169" customWidth="1"/>
    <col min="15880" max="15880" width="16" style="169" customWidth="1"/>
    <col min="15881" max="15883" width="0" style="169" hidden="1" customWidth="1"/>
    <col min="15884" max="15884" width="17.140625" style="169" customWidth="1"/>
    <col min="15885" max="15885" width="16.85546875" style="169" customWidth="1"/>
    <col min="15886" max="15886" width="16.5703125" style="169" customWidth="1"/>
    <col min="15887" max="15887" width="16.28515625" style="169" customWidth="1"/>
    <col min="15888" max="15890" width="0" style="169" hidden="1" customWidth="1"/>
    <col min="15891" max="15891" width="16.42578125" style="169" customWidth="1"/>
    <col min="15892" max="15892" width="17" style="169" customWidth="1"/>
    <col min="15893" max="15895" width="0" style="169" hidden="1" customWidth="1"/>
    <col min="15896" max="15896" width="16.42578125" style="169" customWidth="1"/>
    <col min="15897" max="15897" width="16.140625" style="169" customWidth="1"/>
    <col min="15898" max="15898" width="16" style="169" customWidth="1"/>
    <col min="15899" max="15899" width="16.28515625" style="169" customWidth="1"/>
    <col min="15900" max="15900" width="14.5703125" style="169" customWidth="1"/>
    <col min="15901" max="15901" width="15.85546875" style="169" customWidth="1"/>
    <col min="15902" max="15902" width="15.140625" style="169" customWidth="1"/>
    <col min="15903" max="15903" width="16" style="169" customWidth="1"/>
    <col min="15904" max="15904" width="16.5703125" style="169" customWidth="1"/>
    <col min="15905" max="16128" width="9.140625" style="169"/>
    <col min="16129" max="16129" width="8.28515625" style="169" customWidth="1"/>
    <col min="16130" max="16130" width="26.140625" style="169" customWidth="1"/>
    <col min="16131" max="16133" width="11.28515625" style="169" customWidth="1"/>
    <col min="16134" max="16134" width="10.28515625" style="169" customWidth="1"/>
    <col min="16135" max="16135" width="15.5703125" style="169" customWidth="1"/>
    <col min="16136" max="16136" width="16" style="169" customWidth="1"/>
    <col min="16137" max="16139" width="0" style="169" hidden="1" customWidth="1"/>
    <col min="16140" max="16140" width="17.140625" style="169" customWidth="1"/>
    <col min="16141" max="16141" width="16.85546875" style="169" customWidth="1"/>
    <col min="16142" max="16142" width="16.5703125" style="169" customWidth="1"/>
    <col min="16143" max="16143" width="16.28515625" style="169" customWidth="1"/>
    <col min="16144" max="16146" width="0" style="169" hidden="1" customWidth="1"/>
    <col min="16147" max="16147" width="16.42578125" style="169" customWidth="1"/>
    <col min="16148" max="16148" width="17" style="169" customWidth="1"/>
    <col min="16149" max="16151" width="0" style="169" hidden="1" customWidth="1"/>
    <col min="16152" max="16152" width="16.42578125" style="169" customWidth="1"/>
    <col min="16153" max="16153" width="16.140625" style="169" customWidth="1"/>
    <col min="16154" max="16154" width="16" style="169" customWidth="1"/>
    <col min="16155" max="16155" width="16.28515625" style="169" customWidth="1"/>
    <col min="16156" max="16156" width="14.5703125" style="169" customWidth="1"/>
    <col min="16157" max="16157" width="15.85546875" style="169" customWidth="1"/>
    <col min="16158" max="16158" width="15.140625" style="169" customWidth="1"/>
    <col min="16159" max="16159" width="16" style="169" customWidth="1"/>
    <col min="16160" max="16160" width="16.5703125" style="169" customWidth="1"/>
    <col min="16161" max="16384" width="9.140625" style="169"/>
  </cols>
  <sheetData>
    <row r="1" spans="1:44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7"/>
      <c r="O1" s="167"/>
      <c r="P1" s="167"/>
      <c r="Q1" s="167"/>
      <c r="R1" s="167"/>
      <c r="S1" s="168"/>
      <c r="T1" s="168"/>
      <c r="U1" s="168"/>
      <c r="V1" s="168"/>
      <c r="W1" s="168"/>
      <c r="X1" s="168"/>
      <c r="Y1" s="168"/>
      <c r="Z1" s="168"/>
      <c r="AA1" s="168"/>
    </row>
    <row r="2" spans="1:44" s="171" customFormat="1" ht="51.75" customHeight="1">
      <c r="A2" s="170"/>
      <c r="B2" s="170"/>
      <c r="C2" s="170"/>
      <c r="D2" s="170"/>
      <c r="E2" s="170"/>
      <c r="F2" s="415" t="s">
        <v>398</v>
      </c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170"/>
      <c r="W2" s="170"/>
      <c r="X2" s="170"/>
      <c r="Y2" s="170"/>
      <c r="Z2" s="170"/>
      <c r="AA2" s="170"/>
    </row>
    <row r="3" spans="1:44">
      <c r="A3" s="172"/>
      <c r="B3" s="172"/>
      <c r="C3" s="172"/>
      <c r="D3" s="172"/>
      <c r="E3" s="172"/>
      <c r="F3" s="172"/>
      <c r="G3" s="172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4"/>
      <c r="T3" s="168"/>
      <c r="U3" s="168"/>
      <c r="V3" s="168"/>
      <c r="W3" s="168"/>
      <c r="X3" s="168"/>
      <c r="Y3" s="168"/>
      <c r="AA3" s="168"/>
      <c r="AD3" s="168" t="s">
        <v>81</v>
      </c>
      <c r="AE3" s="175"/>
      <c r="AF3" s="175"/>
    </row>
    <row r="4" spans="1:44" ht="67.5" customHeight="1">
      <c r="A4" s="400" t="s">
        <v>9</v>
      </c>
      <c r="B4" s="400" t="s">
        <v>28</v>
      </c>
      <c r="C4" s="400"/>
      <c r="D4" s="400"/>
      <c r="E4" s="400"/>
      <c r="F4" s="400"/>
      <c r="G4" s="406" t="s">
        <v>10</v>
      </c>
      <c r="H4" s="407"/>
      <c r="I4" s="407"/>
      <c r="J4" s="407"/>
      <c r="K4" s="407"/>
      <c r="L4" s="408"/>
      <c r="M4" s="406" t="s">
        <v>391</v>
      </c>
      <c r="N4" s="407"/>
      <c r="O4" s="408"/>
      <c r="P4" s="176"/>
      <c r="Q4" s="176"/>
      <c r="R4" s="176"/>
      <c r="S4" s="406" t="s">
        <v>392</v>
      </c>
      <c r="T4" s="407"/>
      <c r="U4" s="407"/>
      <c r="V4" s="407"/>
      <c r="W4" s="407"/>
      <c r="X4" s="408"/>
      <c r="Y4" s="406" t="s">
        <v>393</v>
      </c>
      <c r="Z4" s="407"/>
      <c r="AA4" s="407"/>
      <c r="AB4" s="406" t="s">
        <v>11</v>
      </c>
      <c r="AC4" s="407"/>
      <c r="AD4" s="407"/>
      <c r="AE4" s="407"/>
      <c r="AF4" s="408"/>
      <c r="AJ4" s="399"/>
      <c r="AK4" s="399"/>
      <c r="AL4" s="399"/>
      <c r="AM4" s="399"/>
      <c r="AN4" s="399"/>
      <c r="AO4" s="177"/>
      <c r="AP4" s="177"/>
      <c r="AQ4" s="177"/>
      <c r="AR4" s="177"/>
    </row>
    <row r="5" spans="1:44" ht="36" customHeight="1">
      <c r="A5" s="400"/>
      <c r="B5" s="400"/>
      <c r="C5" s="400"/>
      <c r="D5" s="400"/>
      <c r="E5" s="400"/>
      <c r="F5" s="400"/>
      <c r="G5" s="403" t="s">
        <v>463</v>
      </c>
      <c r="H5" s="409" t="s">
        <v>464</v>
      </c>
      <c r="I5" s="410"/>
      <c r="J5" s="410"/>
      <c r="K5" s="411"/>
      <c r="L5" s="403" t="s">
        <v>462</v>
      </c>
      <c r="M5" s="403" t="s">
        <v>463</v>
      </c>
      <c r="N5" s="404" t="s">
        <v>464</v>
      </c>
      <c r="O5" s="409" t="s">
        <v>462</v>
      </c>
      <c r="P5" s="410"/>
      <c r="Q5" s="410"/>
      <c r="R5" s="411"/>
      <c r="S5" s="403" t="s">
        <v>463</v>
      </c>
      <c r="T5" s="404" t="s">
        <v>464</v>
      </c>
      <c r="U5" s="409" t="s">
        <v>462</v>
      </c>
      <c r="V5" s="410"/>
      <c r="W5" s="410"/>
      <c r="X5" s="411"/>
      <c r="Y5" s="403" t="s">
        <v>463</v>
      </c>
      <c r="Z5" s="404" t="s">
        <v>464</v>
      </c>
      <c r="AA5" s="403" t="s">
        <v>462</v>
      </c>
      <c r="AB5" s="403" t="s">
        <v>463</v>
      </c>
      <c r="AC5" s="401" t="s">
        <v>464</v>
      </c>
      <c r="AD5" s="403" t="s">
        <v>462</v>
      </c>
      <c r="AE5" s="401" t="s">
        <v>394</v>
      </c>
      <c r="AF5" s="401" t="s">
        <v>395</v>
      </c>
      <c r="AG5" s="177"/>
      <c r="AH5" s="177"/>
      <c r="AI5" s="177"/>
      <c r="AJ5" s="399"/>
      <c r="AK5" s="399"/>
      <c r="AL5" s="399"/>
      <c r="AM5" s="399"/>
      <c r="AN5" s="399"/>
      <c r="AO5" s="399"/>
      <c r="AP5" s="399"/>
      <c r="AQ5" s="399"/>
      <c r="AR5" s="399"/>
    </row>
    <row r="6" spans="1:44" ht="44.25" customHeight="1">
      <c r="A6" s="400"/>
      <c r="B6" s="400"/>
      <c r="C6" s="400"/>
      <c r="D6" s="400"/>
      <c r="E6" s="400"/>
      <c r="F6" s="400"/>
      <c r="G6" s="403"/>
      <c r="H6" s="412"/>
      <c r="I6" s="413"/>
      <c r="J6" s="413"/>
      <c r="K6" s="414"/>
      <c r="L6" s="403"/>
      <c r="M6" s="403"/>
      <c r="N6" s="405"/>
      <c r="O6" s="412"/>
      <c r="P6" s="413"/>
      <c r="Q6" s="413"/>
      <c r="R6" s="414"/>
      <c r="S6" s="403"/>
      <c r="T6" s="405"/>
      <c r="U6" s="412"/>
      <c r="V6" s="413"/>
      <c r="W6" s="413"/>
      <c r="X6" s="414"/>
      <c r="Y6" s="403"/>
      <c r="Z6" s="405"/>
      <c r="AA6" s="403"/>
      <c r="AB6" s="403"/>
      <c r="AC6" s="402"/>
      <c r="AD6" s="403"/>
      <c r="AE6" s="402"/>
      <c r="AF6" s="402"/>
      <c r="AG6" s="177"/>
      <c r="AH6" s="177"/>
      <c r="AI6" s="177"/>
      <c r="AJ6" s="399"/>
      <c r="AK6" s="399"/>
      <c r="AL6" s="399"/>
      <c r="AM6" s="399"/>
      <c r="AN6" s="399"/>
      <c r="AO6" s="399"/>
      <c r="AP6" s="399"/>
      <c r="AQ6" s="399"/>
      <c r="AR6" s="399"/>
    </row>
    <row r="7" spans="1:44" ht="30" customHeight="1">
      <c r="A7" s="178">
        <v>1</v>
      </c>
      <c r="B7" s="400">
        <v>2</v>
      </c>
      <c r="C7" s="400"/>
      <c r="D7" s="400"/>
      <c r="E7" s="400"/>
      <c r="F7" s="400"/>
      <c r="G7" s="178">
        <v>3</v>
      </c>
      <c r="H7" s="178">
        <v>4</v>
      </c>
      <c r="I7" s="178">
        <v>5</v>
      </c>
      <c r="J7" s="178">
        <v>6</v>
      </c>
      <c r="K7" s="178">
        <v>7</v>
      </c>
      <c r="L7" s="178">
        <v>5</v>
      </c>
      <c r="M7" s="178">
        <v>6</v>
      </c>
      <c r="N7" s="178">
        <v>7</v>
      </c>
      <c r="O7" s="178">
        <v>8</v>
      </c>
      <c r="P7" s="178">
        <v>15</v>
      </c>
      <c r="Q7" s="178">
        <v>16</v>
      </c>
      <c r="R7" s="178">
        <v>17</v>
      </c>
      <c r="S7" s="179">
        <v>9</v>
      </c>
      <c r="T7" s="179">
        <v>10</v>
      </c>
      <c r="U7" s="179">
        <v>20</v>
      </c>
      <c r="V7" s="179">
        <v>21</v>
      </c>
      <c r="W7" s="179">
        <v>22</v>
      </c>
      <c r="X7" s="179">
        <v>11</v>
      </c>
      <c r="Y7" s="179">
        <v>12</v>
      </c>
      <c r="Z7" s="179">
        <v>13</v>
      </c>
      <c r="AA7" s="180">
        <v>14</v>
      </c>
      <c r="AB7" s="181">
        <v>15</v>
      </c>
      <c r="AC7" s="181">
        <v>16</v>
      </c>
      <c r="AD7" s="181">
        <v>17</v>
      </c>
      <c r="AE7" s="178">
        <v>18</v>
      </c>
      <c r="AF7" s="178">
        <v>19</v>
      </c>
      <c r="AG7" s="182"/>
      <c r="AH7" s="182"/>
      <c r="AI7" s="182"/>
      <c r="AJ7" s="166"/>
      <c r="AK7" s="166"/>
      <c r="AL7" s="166"/>
      <c r="AM7" s="166"/>
      <c r="AN7" s="166"/>
      <c r="AO7" s="166"/>
      <c r="AP7" s="166"/>
      <c r="AQ7" s="166"/>
      <c r="AR7" s="166"/>
    </row>
    <row r="8" spans="1:44" ht="48" customHeight="1">
      <c r="A8" s="198">
        <v>1</v>
      </c>
      <c r="B8" s="385" t="s">
        <v>134</v>
      </c>
      <c r="C8" s="386"/>
      <c r="D8" s="386"/>
      <c r="E8" s="386"/>
      <c r="F8" s="387"/>
      <c r="G8" s="85">
        <f t="shared" ref="G8:Y8" si="0">SUM(G9:G17)</f>
        <v>0</v>
      </c>
      <c r="H8" s="85">
        <f t="shared" si="0"/>
        <v>0</v>
      </c>
      <c r="I8" s="85">
        <f t="shared" si="0"/>
        <v>0</v>
      </c>
      <c r="J8" s="85">
        <f t="shared" si="0"/>
        <v>0</v>
      </c>
      <c r="K8" s="85">
        <f t="shared" si="0"/>
        <v>0</v>
      </c>
      <c r="L8" s="85">
        <f t="shared" si="0"/>
        <v>0</v>
      </c>
      <c r="M8" s="85">
        <f t="shared" si="0"/>
        <v>0</v>
      </c>
      <c r="N8" s="85">
        <f t="shared" si="0"/>
        <v>0</v>
      </c>
      <c r="O8" s="85">
        <f t="shared" si="0"/>
        <v>0</v>
      </c>
      <c r="P8" s="85">
        <f t="shared" si="0"/>
        <v>0</v>
      </c>
      <c r="Q8" s="85">
        <f t="shared" si="0"/>
        <v>0</v>
      </c>
      <c r="R8" s="85">
        <f t="shared" si="0"/>
        <v>0</v>
      </c>
      <c r="S8" s="85">
        <f t="shared" si="0"/>
        <v>31.5</v>
      </c>
      <c r="T8" s="85">
        <f t="shared" si="0"/>
        <v>54.5</v>
      </c>
      <c r="U8" s="85">
        <f t="shared" si="0"/>
        <v>0</v>
      </c>
      <c r="V8" s="85">
        <f t="shared" si="0"/>
        <v>0</v>
      </c>
      <c r="W8" s="85">
        <f t="shared" si="0"/>
        <v>0</v>
      </c>
      <c r="X8" s="85">
        <f t="shared" si="0"/>
        <v>23</v>
      </c>
      <c r="Y8" s="85">
        <f t="shared" si="0"/>
        <v>1861.5000000000002</v>
      </c>
      <c r="Z8" s="86">
        <f>SUM(Z9:Z18)</f>
        <v>1680.9</v>
      </c>
      <c r="AA8" s="86">
        <f>SUM(AA9:AA24)</f>
        <v>163.69999999999999</v>
      </c>
      <c r="AB8" s="183">
        <f>SUM(G8,M8,S8,Y8)</f>
        <v>1893.0000000000002</v>
      </c>
      <c r="AC8" s="183">
        <f>SUM(H8,N8,T8,Z8)</f>
        <v>1735.4</v>
      </c>
      <c r="AD8" s="183">
        <f>SUM(L8,O8,X8,AA8)</f>
        <v>186.7</v>
      </c>
      <c r="AE8" s="86">
        <f>AD8-AC8</f>
        <v>-1548.7</v>
      </c>
      <c r="AF8" s="86">
        <f t="shared" ref="AF8:AF12" si="1">AD8/AC8*100</f>
        <v>10.758326610579692</v>
      </c>
      <c r="AG8" s="184"/>
      <c r="AH8" s="184"/>
      <c r="AI8" s="184"/>
      <c r="AJ8" s="185"/>
      <c r="AK8" s="185"/>
      <c r="AL8" s="186"/>
      <c r="AM8" s="186"/>
      <c r="AN8" s="186"/>
      <c r="AO8" s="186"/>
      <c r="AP8" s="186"/>
      <c r="AQ8" s="186"/>
      <c r="AR8" s="184"/>
    </row>
    <row r="9" spans="1:44" ht="43.5" customHeight="1">
      <c r="A9" s="198"/>
      <c r="B9" s="390" t="str">
        <f>'Розшифровка кап'!A7</f>
        <v>електрокардіограф Юкард-100 (8 шт-за 9 місяців 2020р.)</v>
      </c>
      <c r="C9" s="391"/>
      <c r="D9" s="391"/>
      <c r="E9" s="391"/>
      <c r="F9" s="392"/>
      <c r="G9" s="187"/>
      <c r="H9" s="187"/>
      <c r="I9" s="187"/>
      <c r="J9" s="187"/>
      <c r="K9" s="187"/>
      <c r="L9" s="187"/>
      <c r="M9" s="187"/>
      <c r="N9" s="187"/>
      <c r="O9" s="188"/>
      <c r="P9" s="187"/>
      <c r="Q9" s="187"/>
      <c r="R9" s="187"/>
      <c r="S9" s="125"/>
      <c r="T9" s="189"/>
      <c r="U9" s="189"/>
      <c r="V9" s="189"/>
      <c r="W9" s="189"/>
      <c r="X9" s="187"/>
      <c r="Y9" s="187">
        <v>437.6</v>
      </c>
      <c r="Z9" s="190">
        <v>166.7</v>
      </c>
      <c r="AA9" s="191"/>
      <c r="AB9" s="192">
        <f t="shared" ref="AB9:AC26" si="2">SUM(G9,M9,S9,Y9)</f>
        <v>437.6</v>
      </c>
      <c r="AC9" s="192">
        <f>SUM(H9,N9,T9,Z9)</f>
        <v>166.7</v>
      </c>
      <c r="AD9" s="192">
        <f t="shared" ref="AD9:AD25" si="3">SUM(L9,O9,X9,AA9)</f>
        <v>0</v>
      </c>
      <c r="AE9" s="193">
        <f t="shared" ref="AE9:AE25" si="4">AD9-AC9</f>
        <v>-166.7</v>
      </c>
      <c r="AF9" s="233">
        <f t="shared" si="1"/>
        <v>0</v>
      </c>
      <c r="AG9" s="194"/>
      <c r="AH9" s="194"/>
      <c r="AI9" s="194"/>
      <c r="AJ9" s="185"/>
      <c r="AK9" s="185"/>
      <c r="AL9" s="195"/>
      <c r="AM9" s="195"/>
      <c r="AN9" s="195"/>
      <c r="AO9" s="194"/>
      <c r="AP9" s="194"/>
      <c r="AQ9" s="194"/>
      <c r="AR9" s="194"/>
    </row>
    <row r="10" spans="1:44" ht="43.5" customHeight="1">
      <c r="A10" s="198"/>
      <c r="B10" s="390" t="str">
        <f>'Розшифровка кап'!A8</f>
        <v>автомобіль (3шт-І півріччя 2020р.)(3шт-І півріччя 2021р.)</v>
      </c>
      <c r="C10" s="391"/>
      <c r="D10" s="391"/>
      <c r="E10" s="391"/>
      <c r="F10" s="392"/>
      <c r="G10" s="187"/>
      <c r="H10" s="187"/>
      <c r="I10" s="187"/>
      <c r="J10" s="187"/>
      <c r="K10" s="187"/>
      <c r="L10" s="187"/>
      <c r="M10" s="187"/>
      <c r="N10" s="187"/>
      <c r="O10" s="188"/>
      <c r="P10" s="187"/>
      <c r="Q10" s="187"/>
      <c r="R10" s="187"/>
      <c r="S10" s="125"/>
      <c r="T10" s="189"/>
      <c r="U10" s="189"/>
      <c r="V10" s="189"/>
      <c r="W10" s="189"/>
      <c r="X10" s="187"/>
      <c r="Y10" s="187">
        <v>912.3</v>
      </c>
      <c r="Z10" s="190">
        <v>1250</v>
      </c>
      <c r="AA10" s="191"/>
      <c r="AB10" s="192">
        <f t="shared" si="2"/>
        <v>912.3</v>
      </c>
      <c r="AC10" s="192">
        <f t="shared" ref="AC10:AC17" si="5">SUM(H10,N10,T10,Z10)</f>
        <v>1250</v>
      </c>
      <c r="AD10" s="192">
        <f t="shared" si="3"/>
        <v>0</v>
      </c>
      <c r="AE10" s="193">
        <f t="shared" si="4"/>
        <v>-1250</v>
      </c>
      <c r="AF10" s="193">
        <f t="shared" si="1"/>
        <v>0</v>
      </c>
      <c r="AG10" s="194"/>
      <c r="AH10" s="194"/>
      <c r="AI10" s="194"/>
      <c r="AJ10" s="185"/>
      <c r="AK10" s="185"/>
      <c r="AL10" s="195"/>
      <c r="AM10" s="195"/>
      <c r="AN10" s="195"/>
      <c r="AO10" s="194"/>
      <c r="AP10" s="194"/>
      <c r="AQ10" s="194"/>
      <c r="AR10" s="194"/>
    </row>
    <row r="11" spans="1:44" ht="40.5" customHeight="1">
      <c r="A11" s="198"/>
      <c r="B11" s="390" t="str">
        <f>'Розшифровка кап'!A9</f>
        <v>багатофункціональний пристрій (15шт-за 9 місяців 2020р.)</v>
      </c>
      <c r="C11" s="391"/>
      <c r="D11" s="391"/>
      <c r="E11" s="391"/>
      <c r="F11" s="392"/>
      <c r="G11" s="187"/>
      <c r="H11" s="187"/>
      <c r="I11" s="187"/>
      <c r="J11" s="187"/>
      <c r="K11" s="187"/>
      <c r="L11" s="187"/>
      <c r="M11" s="187"/>
      <c r="N11" s="187"/>
      <c r="O11" s="188"/>
      <c r="P11" s="187"/>
      <c r="Q11" s="187"/>
      <c r="R11" s="187"/>
      <c r="S11" s="187"/>
      <c r="T11" s="189"/>
      <c r="U11" s="189"/>
      <c r="V11" s="189"/>
      <c r="W11" s="189"/>
      <c r="X11" s="187"/>
      <c r="Y11" s="187">
        <v>99.7</v>
      </c>
      <c r="Z11" s="193">
        <v>41.7</v>
      </c>
      <c r="AA11" s="191"/>
      <c r="AB11" s="192">
        <f t="shared" si="2"/>
        <v>99.7</v>
      </c>
      <c r="AC11" s="192">
        <f t="shared" si="5"/>
        <v>41.7</v>
      </c>
      <c r="AD11" s="192">
        <f t="shared" si="3"/>
        <v>0</v>
      </c>
      <c r="AE11" s="193">
        <f t="shared" si="4"/>
        <v>-41.7</v>
      </c>
      <c r="AF11" s="233">
        <f t="shared" si="1"/>
        <v>0</v>
      </c>
      <c r="AG11" s="194"/>
      <c r="AH11" s="194"/>
      <c r="AI11" s="194"/>
      <c r="AJ11" s="185"/>
      <c r="AK11" s="185"/>
      <c r="AL11" s="195"/>
      <c r="AM11" s="195"/>
      <c r="AN11" s="195"/>
      <c r="AO11" s="194"/>
      <c r="AP11" s="194"/>
      <c r="AQ11" s="194"/>
      <c r="AR11" s="196"/>
    </row>
    <row r="12" spans="1:44" ht="48.75" customHeight="1">
      <c r="A12" s="198"/>
      <c r="B12" s="390" t="str">
        <f>'Розшифровка кап'!A10</f>
        <v>комп'ютерний комплекс (33шт-за 9 місяців 2020р.)(9шт.за 9 місяців 2021р.)</v>
      </c>
      <c r="C12" s="391"/>
      <c r="D12" s="391"/>
      <c r="E12" s="391"/>
      <c r="F12" s="392"/>
      <c r="G12" s="187"/>
      <c r="H12" s="187"/>
      <c r="I12" s="187"/>
      <c r="J12" s="187"/>
      <c r="K12" s="187"/>
      <c r="L12" s="187"/>
      <c r="M12" s="187"/>
      <c r="N12" s="187"/>
      <c r="O12" s="188"/>
      <c r="P12" s="187"/>
      <c r="Q12" s="187"/>
      <c r="R12" s="187"/>
      <c r="S12" s="187"/>
      <c r="T12" s="189"/>
      <c r="U12" s="189"/>
      <c r="V12" s="189"/>
      <c r="W12" s="189"/>
      <c r="X12" s="187"/>
      <c r="Y12" s="187">
        <v>342.3</v>
      </c>
      <c r="Z12" s="193">
        <v>100</v>
      </c>
      <c r="AA12" s="191"/>
      <c r="AB12" s="192">
        <f t="shared" si="2"/>
        <v>342.3</v>
      </c>
      <c r="AC12" s="192">
        <f t="shared" si="5"/>
        <v>100</v>
      </c>
      <c r="AD12" s="192">
        <f t="shared" si="3"/>
        <v>0</v>
      </c>
      <c r="AE12" s="193">
        <f t="shared" si="4"/>
        <v>-100</v>
      </c>
      <c r="AF12" s="193">
        <f t="shared" si="1"/>
        <v>0</v>
      </c>
      <c r="AG12" s="194"/>
      <c r="AH12" s="194"/>
      <c r="AI12" s="194"/>
      <c r="AJ12" s="185"/>
      <c r="AK12" s="185"/>
      <c r="AL12" s="195"/>
      <c r="AM12" s="195"/>
      <c r="AN12" s="195"/>
      <c r="AO12" s="194"/>
      <c r="AP12" s="194"/>
      <c r="AQ12" s="194"/>
      <c r="AR12" s="196"/>
    </row>
    <row r="13" spans="1:44" ht="30" customHeight="1">
      <c r="A13" s="198"/>
      <c r="B13" s="390" t="str">
        <f>'Розшифровка кап'!A11</f>
        <v>комутатор (1шт-за 9 місяців 2020р.)</v>
      </c>
      <c r="C13" s="391"/>
      <c r="D13" s="391"/>
      <c r="E13" s="391"/>
      <c r="F13" s="392"/>
      <c r="G13" s="187"/>
      <c r="H13" s="187"/>
      <c r="I13" s="187"/>
      <c r="J13" s="187"/>
      <c r="K13" s="187"/>
      <c r="L13" s="187"/>
      <c r="M13" s="187"/>
      <c r="N13" s="187"/>
      <c r="O13" s="188"/>
      <c r="P13" s="187"/>
      <c r="Q13" s="187"/>
      <c r="R13" s="187"/>
      <c r="S13" s="187"/>
      <c r="T13" s="189"/>
      <c r="U13" s="189"/>
      <c r="V13" s="189"/>
      <c r="W13" s="189"/>
      <c r="X13" s="187"/>
      <c r="Y13" s="187">
        <v>8.1999999999999993</v>
      </c>
      <c r="Z13" s="193"/>
      <c r="AA13" s="191"/>
      <c r="AB13" s="192">
        <f t="shared" si="2"/>
        <v>8.1999999999999993</v>
      </c>
      <c r="AC13" s="192">
        <f t="shared" si="5"/>
        <v>0</v>
      </c>
      <c r="AD13" s="192">
        <f t="shared" si="3"/>
        <v>0</v>
      </c>
      <c r="AE13" s="193">
        <f t="shared" si="4"/>
        <v>0</v>
      </c>
      <c r="AF13" s="193"/>
      <c r="AG13" s="194"/>
      <c r="AH13" s="194"/>
      <c r="AI13" s="194"/>
      <c r="AJ13" s="185"/>
      <c r="AK13" s="185"/>
      <c r="AL13" s="195"/>
      <c r="AM13" s="195"/>
      <c r="AN13" s="195"/>
      <c r="AO13" s="194"/>
      <c r="AP13" s="194"/>
      <c r="AQ13" s="194"/>
      <c r="AR13" s="196"/>
    </row>
    <row r="14" spans="1:44" ht="46.5" customHeight="1">
      <c r="A14" s="198"/>
      <c r="B14" s="390" t="str">
        <f>'Розшифровка кап'!A12</f>
        <v>ліжко функціональне КФ-2 з матрацом (6шт- за 9 місяців 2020р.)</v>
      </c>
      <c r="C14" s="391"/>
      <c r="D14" s="391"/>
      <c r="E14" s="391"/>
      <c r="F14" s="392"/>
      <c r="G14" s="187"/>
      <c r="H14" s="187"/>
      <c r="I14" s="187"/>
      <c r="J14" s="187"/>
      <c r="K14" s="187"/>
      <c r="L14" s="187"/>
      <c r="M14" s="187"/>
      <c r="N14" s="187"/>
      <c r="O14" s="188"/>
      <c r="P14" s="187"/>
      <c r="Q14" s="187"/>
      <c r="R14" s="187"/>
      <c r="S14" s="187"/>
      <c r="T14" s="189"/>
      <c r="U14" s="189"/>
      <c r="V14" s="189"/>
      <c r="W14" s="189"/>
      <c r="X14" s="187"/>
      <c r="Y14" s="187">
        <v>61.4</v>
      </c>
      <c r="Z14" s="193"/>
      <c r="AA14" s="191"/>
      <c r="AB14" s="192">
        <f t="shared" si="2"/>
        <v>61.4</v>
      </c>
      <c r="AC14" s="192">
        <f t="shared" si="5"/>
        <v>0</v>
      </c>
      <c r="AD14" s="192">
        <f t="shared" si="3"/>
        <v>0</v>
      </c>
      <c r="AE14" s="193">
        <f t="shared" si="4"/>
        <v>0</v>
      </c>
      <c r="AF14" s="233" t="e">
        <f>AD14/AC14*100</f>
        <v>#DIV/0!</v>
      </c>
      <c r="AG14" s="194"/>
      <c r="AH14" s="194"/>
      <c r="AI14" s="194"/>
      <c r="AJ14" s="185"/>
      <c r="AK14" s="185"/>
      <c r="AL14" s="195"/>
      <c r="AM14" s="195"/>
      <c r="AN14" s="195"/>
      <c r="AO14" s="194"/>
      <c r="AP14" s="194"/>
      <c r="AQ14" s="194"/>
      <c r="AR14" s="196"/>
    </row>
    <row r="15" spans="1:44" ht="39" customHeight="1">
      <c r="A15" s="198"/>
      <c r="B15" s="390" t="str">
        <f>'Розшифровка кап'!A13</f>
        <v>аналізатор сечі (1шт-за 9 місяців  2020р.), (1шт-за 9 місяців 2021р.)</v>
      </c>
      <c r="C15" s="391"/>
      <c r="D15" s="391"/>
      <c r="E15" s="391"/>
      <c r="F15" s="392"/>
      <c r="G15" s="187"/>
      <c r="H15" s="187"/>
      <c r="I15" s="187"/>
      <c r="J15" s="187"/>
      <c r="K15" s="187"/>
      <c r="L15" s="187"/>
      <c r="M15" s="187"/>
      <c r="N15" s="187"/>
      <c r="O15" s="188"/>
      <c r="P15" s="187"/>
      <c r="Q15" s="187"/>
      <c r="R15" s="187"/>
      <c r="S15" s="187">
        <v>31.5</v>
      </c>
      <c r="T15" s="189">
        <v>31.5</v>
      </c>
      <c r="U15" s="189"/>
      <c r="V15" s="189"/>
      <c r="W15" s="189"/>
      <c r="X15" s="187"/>
      <c r="Y15" s="187"/>
      <c r="Z15" s="193"/>
      <c r="AA15" s="191"/>
      <c r="AB15" s="192">
        <f t="shared" si="2"/>
        <v>31.5</v>
      </c>
      <c r="AC15" s="192">
        <f t="shared" si="5"/>
        <v>31.5</v>
      </c>
      <c r="AD15" s="192">
        <f t="shared" si="3"/>
        <v>0</v>
      </c>
      <c r="AE15" s="193">
        <f t="shared" si="4"/>
        <v>-31.5</v>
      </c>
      <c r="AF15" s="193"/>
      <c r="AG15" s="194"/>
      <c r="AH15" s="194"/>
      <c r="AI15" s="194"/>
      <c r="AJ15" s="185"/>
      <c r="AK15" s="185"/>
      <c r="AL15" s="195"/>
      <c r="AM15" s="195"/>
      <c r="AN15" s="195"/>
      <c r="AO15" s="194"/>
      <c r="AP15" s="194"/>
      <c r="AQ15" s="194"/>
      <c r="AR15" s="196"/>
    </row>
    <row r="16" spans="1:44" ht="33.75" customHeight="1">
      <c r="A16" s="198"/>
      <c r="B16" s="390" t="str">
        <f>'Розшифровка кап'!A14</f>
        <v>телевізор(1шт-І півріччя 2021р.)</v>
      </c>
      <c r="C16" s="391"/>
      <c r="D16" s="391"/>
      <c r="E16" s="391"/>
      <c r="F16" s="392"/>
      <c r="G16" s="187"/>
      <c r="H16" s="187"/>
      <c r="I16" s="187"/>
      <c r="J16" s="187"/>
      <c r="K16" s="187"/>
      <c r="L16" s="187"/>
      <c r="M16" s="187"/>
      <c r="N16" s="187"/>
      <c r="O16" s="188"/>
      <c r="P16" s="187"/>
      <c r="Q16" s="187"/>
      <c r="R16" s="187"/>
      <c r="S16" s="187"/>
      <c r="T16" s="189"/>
      <c r="U16" s="189"/>
      <c r="V16" s="189"/>
      <c r="W16" s="189"/>
      <c r="X16" s="187"/>
      <c r="Y16" s="187"/>
      <c r="Z16" s="193">
        <v>20</v>
      </c>
      <c r="AA16" s="191"/>
      <c r="AB16" s="192">
        <f t="shared" si="2"/>
        <v>0</v>
      </c>
      <c r="AC16" s="192">
        <f t="shared" si="5"/>
        <v>20</v>
      </c>
      <c r="AD16" s="192">
        <f t="shared" si="3"/>
        <v>0</v>
      </c>
      <c r="AE16" s="193">
        <f t="shared" si="4"/>
        <v>-20</v>
      </c>
      <c r="AF16" s="193">
        <f>AD16/AC16*100</f>
        <v>0</v>
      </c>
      <c r="AG16" s="194"/>
      <c r="AH16" s="194"/>
      <c r="AI16" s="194"/>
      <c r="AJ16" s="185"/>
      <c r="AK16" s="185"/>
      <c r="AL16" s="195"/>
      <c r="AM16" s="195"/>
      <c r="AN16" s="195"/>
      <c r="AO16" s="194"/>
      <c r="AP16" s="194"/>
      <c r="AQ16" s="194"/>
      <c r="AR16" s="196"/>
    </row>
    <row r="17" spans="1:44" ht="30" customHeight="1">
      <c r="A17" s="198"/>
      <c r="B17" s="390" t="str">
        <f>'Розшифровка кап'!A15</f>
        <v>ноутбук (4шт-І півріччя 2021р.)</v>
      </c>
      <c r="C17" s="391"/>
      <c r="D17" s="391"/>
      <c r="E17" s="391"/>
      <c r="F17" s="392"/>
      <c r="G17" s="187"/>
      <c r="H17" s="187"/>
      <c r="I17" s="187"/>
      <c r="J17" s="187"/>
      <c r="K17" s="187"/>
      <c r="L17" s="187"/>
      <c r="M17" s="187"/>
      <c r="N17" s="187"/>
      <c r="O17" s="188"/>
      <c r="P17" s="187"/>
      <c r="Q17" s="187"/>
      <c r="R17" s="187"/>
      <c r="S17" s="187"/>
      <c r="T17" s="189">
        <v>23</v>
      </c>
      <c r="U17" s="189"/>
      <c r="V17" s="189"/>
      <c r="W17" s="189"/>
      <c r="X17" s="187">
        <v>23</v>
      </c>
      <c r="Y17" s="187"/>
      <c r="Z17" s="193">
        <v>87.5</v>
      </c>
      <c r="AA17" s="191"/>
      <c r="AB17" s="192">
        <f t="shared" si="2"/>
        <v>0</v>
      </c>
      <c r="AC17" s="192">
        <f t="shared" si="5"/>
        <v>110.5</v>
      </c>
      <c r="AD17" s="192">
        <f t="shared" si="3"/>
        <v>23</v>
      </c>
      <c r="AE17" s="193">
        <f t="shared" si="4"/>
        <v>-87.5</v>
      </c>
      <c r="AF17" s="233">
        <f t="shared" ref="AF17:AF25" si="6">AD17/AC17*100</f>
        <v>20.81447963800905</v>
      </c>
      <c r="AG17" s="194"/>
      <c r="AH17" s="194"/>
      <c r="AI17" s="194"/>
      <c r="AJ17" s="185"/>
      <c r="AK17" s="185"/>
      <c r="AL17" s="195"/>
      <c r="AM17" s="195"/>
      <c r="AN17" s="195"/>
      <c r="AO17" s="194"/>
      <c r="AP17" s="194"/>
      <c r="AQ17" s="194"/>
      <c r="AR17" s="196"/>
    </row>
    <row r="18" spans="1:44" ht="30" customHeight="1">
      <c r="A18" s="198"/>
      <c r="B18" s="390" t="s">
        <v>487</v>
      </c>
      <c r="C18" s="391"/>
      <c r="D18" s="391"/>
      <c r="E18" s="391"/>
      <c r="F18" s="392"/>
      <c r="G18" s="187"/>
      <c r="H18" s="187"/>
      <c r="I18" s="187"/>
      <c r="J18" s="187"/>
      <c r="K18" s="187"/>
      <c r="L18" s="187"/>
      <c r="M18" s="187"/>
      <c r="N18" s="187"/>
      <c r="O18" s="188"/>
      <c r="P18" s="187"/>
      <c r="Q18" s="187"/>
      <c r="R18" s="187"/>
      <c r="S18" s="187"/>
      <c r="T18" s="189"/>
      <c r="U18" s="189"/>
      <c r="V18" s="189"/>
      <c r="W18" s="189"/>
      <c r="X18" s="187"/>
      <c r="Y18" s="187"/>
      <c r="Z18" s="193">
        <v>15</v>
      </c>
      <c r="AA18" s="191"/>
      <c r="AB18" s="192"/>
      <c r="AC18" s="192"/>
      <c r="AD18" s="192"/>
      <c r="AE18" s="193"/>
      <c r="AF18" s="233"/>
      <c r="AG18" s="194"/>
      <c r="AH18" s="194"/>
      <c r="AI18" s="194"/>
      <c r="AJ18" s="185"/>
      <c r="AK18" s="185"/>
      <c r="AL18" s="195"/>
      <c r="AM18" s="195"/>
      <c r="AN18" s="195"/>
      <c r="AO18" s="194"/>
      <c r="AP18" s="194"/>
      <c r="AQ18" s="194"/>
      <c r="AR18" s="196"/>
    </row>
    <row r="19" spans="1:44" ht="30" customHeight="1">
      <c r="A19" s="198"/>
      <c r="B19" s="390" t="s">
        <v>423</v>
      </c>
      <c r="C19" s="391"/>
      <c r="D19" s="391"/>
      <c r="E19" s="391"/>
      <c r="F19" s="392"/>
      <c r="G19" s="187"/>
      <c r="H19" s="187"/>
      <c r="I19" s="187"/>
      <c r="J19" s="187"/>
      <c r="K19" s="187"/>
      <c r="L19" s="187"/>
      <c r="M19" s="187"/>
      <c r="N19" s="187"/>
      <c r="O19" s="188"/>
      <c r="P19" s="187"/>
      <c r="Q19" s="187"/>
      <c r="R19" s="187"/>
      <c r="S19" s="187"/>
      <c r="T19" s="189"/>
      <c r="U19" s="189"/>
      <c r="V19" s="189"/>
      <c r="W19" s="189"/>
      <c r="X19" s="187" t="s">
        <v>483</v>
      </c>
      <c r="Y19" s="187"/>
      <c r="Z19" s="193"/>
      <c r="AA19" s="191">
        <v>36.5</v>
      </c>
      <c r="AB19" s="192">
        <f t="shared" ref="AB19" si="7">SUM(G19,M19,S19,Y19)</f>
        <v>0</v>
      </c>
      <c r="AC19" s="192">
        <f t="shared" si="2"/>
        <v>0</v>
      </c>
      <c r="AD19" s="192">
        <f t="shared" ref="AD19:AD24" si="8">SUM(L19,O19,X19,AA19)</f>
        <v>36.5</v>
      </c>
      <c r="AE19" s="193">
        <f t="shared" ref="AE19:AE24" si="9">AD19-AC19</f>
        <v>36.5</v>
      </c>
      <c r="AF19" s="233" t="e">
        <f t="shared" si="6"/>
        <v>#DIV/0!</v>
      </c>
      <c r="AG19" s="194"/>
      <c r="AH19" s="194"/>
      <c r="AI19" s="194"/>
      <c r="AJ19" s="185"/>
      <c r="AK19" s="185"/>
      <c r="AL19" s="195"/>
      <c r="AM19" s="195"/>
      <c r="AN19" s="195"/>
      <c r="AO19" s="194"/>
      <c r="AP19" s="194"/>
      <c r="AQ19" s="194"/>
      <c r="AR19" s="196"/>
    </row>
    <row r="20" spans="1:44" ht="30" customHeight="1">
      <c r="A20" s="198"/>
      <c r="B20" s="390" t="s">
        <v>424</v>
      </c>
      <c r="C20" s="391"/>
      <c r="D20" s="391"/>
      <c r="E20" s="391"/>
      <c r="F20" s="392"/>
      <c r="G20" s="187"/>
      <c r="H20" s="187"/>
      <c r="I20" s="187"/>
      <c r="J20" s="187"/>
      <c r="K20" s="187"/>
      <c r="L20" s="187"/>
      <c r="M20" s="187"/>
      <c r="N20" s="187"/>
      <c r="O20" s="188"/>
      <c r="P20" s="187"/>
      <c r="Q20" s="187"/>
      <c r="R20" s="187"/>
      <c r="S20" s="187"/>
      <c r="T20" s="189"/>
      <c r="U20" s="189"/>
      <c r="V20" s="189"/>
      <c r="W20" s="189"/>
      <c r="X20" s="187"/>
      <c r="Y20" s="187"/>
      <c r="Z20" s="193"/>
      <c r="AA20" s="191">
        <v>32.799999999999997</v>
      </c>
      <c r="AB20" s="192"/>
      <c r="AC20" s="192">
        <f t="shared" si="2"/>
        <v>0</v>
      </c>
      <c r="AD20" s="192">
        <f t="shared" si="8"/>
        <v>32.799999999999997</v>
      </c>
      <c r="AE20" s="193">
        <f t="shared" si="9"/>
        <v>32.799999999999997</v>
      </c>
      <c r="AF20" s="233" t="e">
        <f t="shared" si="6"/>
        <v>#DIV/0!</v>
      </c>
      <c r="AG20" s="194"/>
      <c r="AH20" s="194"/>
      <c r="AI20" s="194"/>
      <c r="AJ20" s="185"/>
      <c r="AK20" s="185"/>
      <c r="AL20" s="195"/>
      <c r="AM20" s="195"/>
      <c r="AN20" s="195"/>
      <c r="AO20" s="194"/>
      <c r="AP20" s="194"/>
      <c r="AQ20" s="194"/>
      <c r="AR20" s="196"/>
    </row>
    <row r="21" spans="1:44" ht="30" customHeight="1">
      <c r="A21" s="198"/>
      <c r="B21" s="390" t="s">
        <v>425</v>
      </c>
      <c r="C21" s="391"/>
      <c r="D21" s="391"/>
      <c r="E21" s="391"/>
      <c r="F21" s="392"/>
      <c r="G21" s="187"/>
      <c r="H21" s="187"/>
      <c r="I21" s="187"/>
      <c r="J21" s="187"/>
      <c r="K21" s="187"/>
      <c r="L21" s="187"/>
      <c r="M21" s="187"/>
      <c r="N21" s="187"/>
      <c r="O21" s="188"/>
      <c r="P21" s="187"/>
      <c r="Q21" s="187"/>
      <c r="R21" s="187"/>
      <c r="S21" s="187"/>
      <c r="T21" s="189"/>
      <c r="U21" s="189"/>
      <c r="V21" s="189"/>
      <c r="W21" s="189"/>
      <c r="X21" s="187"/>
      <c r="Y21" s="187"/>
      <c r="Z21" s="193"/>
      <c r="AA21" s="191">
        <v>13</v>
      </c>
      <c r="AB21" s="192"/>
      <c r="AC21" s="192">
        <f t="shared" si="2"/>
        <v>0</v>
      </c>
      <c r="AD21" s="192">
        <f t="shared" si="8"/>
        <v>13</v>
      </c>
      <c r="AE21" s="193">
        <f t="shared" si="9"/>
        <v>13</v>
      </c>
      <c r="AF21" s="233" t="e">
        <f t="shared" si="6"/>
        <v>#DIV/0!</v>
      </c>
      <c r="AG21" s="194"/>
      <c r="AH21" s="194"/>
      <c r="AI21" s="194"/>
      <c r="AJ21" s="185"/>
      <c r="AK21" s="185"/>
      <c r="AL21" s="195"/>
      <c r="AM21" s="195"/>
      <c r="AN21" s="195"/>
      <c r="AO21" s="194"/>
      <c r="AP21" s="194"/>
      <c r="AQ21" s="194"/>
      <c r="AR21" s="196"/>
    </row>
    <row r="22" spans="1:44" ht="30" customHeight="1">
      <c r="A22" s="198"/>
      <c r="B22" s="390" t="s">
        <v>426</v>
      </c>
      <c r="C22" s="391"/>
      <c r="D22" s="391"/>
      <c r="E22" s="391"/>
      <c r="F22" s="392"/>
      <c r="G22" s="187"/>
      <c r="H22" s="187"/>
      <c r="I22" s="187"/>
      <c r="J22" s="187"/>
      <c r="K22" s="187"/>
      <c r="L22" s="187"/>
      <c r="M22" s="187"/>
      <c r="N22" s="187"/>
      <c r="O22" s="188"/>
      <c r="P22" s="187"/>
      <c r="Q22" s="187"/>
      <c r="R22" s="187"/>
      <c r="S22" s="187"/>
      <c r="T22" s="189"/>
      <c r="U22" s="189"/>
      <c r="V22" s="189"/>
      <c r="W22" s="189"/>
      <c r="X22" s="187"/>
      <c r="Y22" s="187"/>
      <c r="Z22" s="193"/>
      <c r="AA22" s="191">
        <v>47.3</v>
      </c>
      <c r="AB22" s="192"/>
      <c r="AC22" s="192">
        <f t="shared" si="2"/>
        <v>0</v>
      </c>
      <c r="AD22" s="192">
        <f t="shared" si="8"/>
        <v>47.3</v>
      </c>
      <c r="AE22" s="193">
        <f t="shared" si="9"/>
        <v>47.3</v>
      </c>
      <c r="AF22" s="233" t="e">
        <f t="shared" si="6"/>
        <v>#DIV/0!</v>
      </c>
      <c r="AG22" s="194"/>
      <c r="AH22" s="194"/>
      <c r="AI22" s="194"/>
      <c r="AJ22" s="185"/>
      <c r="AK22" s="185"/>
      <c r="AL22" s="195"/>
      <c r="AM22" s="195"/>
      <c r="AN22" s="195"/>
      <c r="AO22" s="194"/>
      <c r="AP22" s="194"/>
      <c r="AQ22" s="194"/>
      <c r="AR22" s="196"/>
    </row>
    <row r="23" spans="1:44" ht="30" customHeight="1">
      <c r="A23" s="198"/>
      <c r="B23" s="390" t="s">
        <v>484</v>
      </c>
      <c r="C23" s="391"/>
      <c r="D23" s="391"/>
      <c r="E23" s="391"/>
      <c r="F23" s="392"/>
      <c r="G23" s="187"/>
      <c r="H23" s="187"/>
      <c r="I23" s="187"/>
      <c r="J23" s="187"/>
      <c r="K23" s="187"/>
      <c r="L23" s="187"/>
      <c r="M23" s="187"/>
      <c r="N23" s="187"/>
      <c r="O23" s="188"/>
      <c r="P23" s="187"/>
      <c r="Q23" s="187"/>
      <c r="R23" s="187"/>
      <c r="S23" s="187"/>
      <c r="T23" s="189"/>
      <c r="U23" s="189"/>
      <c r="V23" s="189"/>
      <c r="W23" s="189"/>
      <c r="X23" s="187"/>
      <c r="Y23" s="187"/>
      <c r="Z23" s="193"/>
      <c r="AA23" s="191">
        <v>16.899999999999999</v>
      </c>
      <c r="AB23" s="192"/>
      <c r="AC23" s="192"/>
      <c r="AD23" s="192">
        <f t="shared" si="8"/>
        <v>16.899999999999999</v>
      </c>
      <c r="AE23" s="193">
        <f t="shared" si="9"/>
        <v>16.899999999999999</v>
      </c>
      <c r="AF23" s="233" t="e">
        <f t="shared" si="6"/>
        <v>#DIV/0!</v>
      </c>
      <c r="AG23" s="194"/>
      <c r="AH23" s="194"/>
      <c r="AI23" s="194"/>
      <c r="AJ23" s="185"/>
      <c r="AK23" s="185"/>
      <c r="AL23" s="195"/>
      <c r="AM23" s="195"/>
      <c r="AN23" s="195"/>
      <c r="AO23" s="194"/>
      <c r="AP23" s="194"/>
      <c r="AQ23" s="194"/>
      <c r="AR23" s="196"/>
    </row>
    <row r="24" spans="1:44" ht="30" customHeight="1">
      <c r="A24" s="198"/>
      <c r="B24" s="390" t="s">
        <v>485</v>
      </c>
      <c r="C24" s="391"/>
      <c r="D24" s="391"/>
      <c r="E24" s="391"/>
      <c r="F24" s="392"/>
      <c r="G24" s="187"/>
      <c r="H24" s="187"/>
      <c r="I24" s="187"/>
      <c r="J24" s="187"/>
      <c r="K24" s="187"/>
      <c r="L24" s="187"/>
      <c r="M24" s="187"/>
      <c r="N24" s="187"/>
      <c r="O24" s="188"/>
      <c r="P24" s="187"/>
      <c r="Q24" s="187"/>
      <c r="R24" s="187"/>
      <c r="S24" s="187"/>
      <c r="T24" s="189"/>
      <c r="U24" s="189"/>
      <c r="V24" s="189"/>
      <c r="W24" s="189"/>
      <c r="X24" s="187"/>
      <c r="Y24" s="187"/>
      <c r="Z24" s="193"/>
      <c r="AA24" s="191">
        <v>17.2</v>
      </c>
      <c r="AB24" s="192"/>
      <c r="AC24" s="192"/>
      <c r="AD24" s="192">
        <f t="shared" si="8"/>
        <v>17.2</v>
      </c>
      <c r="AE24" s="193">
        <f t="shared" si="9"/>
        <v>17.2</v>
      </c>
      <c r="AF24" s="233" t="e">
        <f t="shared" si="6"/>
        <v>#DIV/0!</v>
      </c>
      <c r="AG24" s="194"/>
      <c r="AH24" s="194"/>
      <c r="AI24" s="194"/>
      <c r="AJ24" s="185"/>
      <c r="AK24" s="185"/>
      <c r="AL24" s="195"/>
      <c r="AM24" s="195"/>
      <c r="AN24" s="195"/>
      <c r="AO24" s="194"/>
      <c r="AP24" s="194"/>
      <c r="AQ24" s="194"/>
      <c r="AR24" s="196"/>
    </row>
    <row r="25" spans="1:44" ht="54.75" customHeight="1">
      <c r="A25" s="198">
        <v>2</v>
      </c>
      <c r="B25" s="385" t="s">
        <v>135</v>
      </c>
      <c r="C25" s="386"/>
      <c r="D25" s="386"/>
      <c r="E25" s="386"/>
      <c r="F25" s="387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>
        <v>0.3</v>
      </c>
      <c r="T25" s="85"/>
      <c r="U25" s="85"/>
      <c r="V25" s="85"/>
      <c r="W25" s="85"/>
      <c r="X25" s="85">
        <v>0.1</v>
      </c>
      <c r="Y25" s="85">
        <v>488.6</v>
      </c>
      <c r="Z25" s="86">
        <v>585.4</v>
      </c>
      <c r="AA25" s="86">
        <v>137.9</v>
      </c>
      <c r="AB25" s="183">
        <f t="shared" si="2"/>
        <v>488.90000000000003</v>
      </c>
      <c r="AC25" s="183">
        <f t="shared" si="2"/>
        <v>585.4</v>
      </c>
      <c r="AD25" s="183">
        <f t="shared" si="3"/>
        <v>138</v>
      </c>
      <c r="AE25" s="86">
        <f t="shared" si="4"/>
        <v>-447.4</v>
      </c>
      <c r="AF25" s="11">
        <f t="shared" si="6"/>
        <v>23.573624871882473</v>
      </c>
      <c r="AG25" s="184"/>
      <c r="AH25" s="184"/>
      <c r="AI25" s="184"/>
      <c r="AJ25" s="185"/>
      <c r="AK25" s="185"/>
      <c r="AL25" s="186"/>
      <c r="AM25" s="186"/>
      <c r="AN25" s="186"/>
      <c r="AO25" s="186"/>
      <c r="AP25" s="186"/>
      <c r="AQ25" s="186"/>
      <c r="AR25" s="184"/>
    </row>
    <row r="26" spans="1:44" ht="46.5" customHeight="1">
      <c r="A26" s="198">
        <v>3</v>
      </c>
      <c r="B26" s="385" t="s">
        <v>136</v>
      </c>
      <c r="C26" s="386"/>
      <c r="D26" s="386"/>
      <c r="E26" s="386"/>
      <c r="F26" s="387"/>
      <c r="G26" s="187">
        <f>SUM(G27:G28)</f>
        <v>0</v>
      </c>
      <c r="H26" s="187">
        <f t="shared" ref="H26:X26" si="10">SUM(H27:H28)</f>
        <v>0</v>
      </c>
      <c r="I26" s="187">
        <f t="shared" si="10"/>
        <v>0</v>
      </c>
      <c r="J26" s="187">
        <f t="shared" si="10"/>
        <v>0</v>
      </c>
      <c r="K26" s="187">
        <f t="shared" si="10"/>
        <v>0</v>
      </c>
      <c r="L26" s="187">
        <f t="shared" si="10"/>
        <v>0</v>
      </c>
      <c r="M26" s="187">
        <f t="shared" si="10"/>
        <v>0</v>
      </c>
      <c r="N26" s="187">
        <f t="shared" si="10"/>
        <v>0</v>
      </c>
      <c r="O26" s="187">
        <f t="shared" si="10"/>
        <v>0</v>
      </c>
      <c r="P26" s="187">
        <f t="shared" si="10"/>
        <v>0</v>
      </c>
      <c r="Q26" s="187">
        <f t="shared" si="10"/>
        <v>0</v>
      </c>
      <c r="R26" s="187">
        <f t="shared" si="10"/>
        <v>0</v>
      </c>
      <c r="S26" s="187">
        <f t="shared" si="10"/>
        <v>0</v>
      </c>
      <c r="T26" s="187">
        <f t="shared" si="10"/>
        <v>0</v>
      </c>
      <c r="U26" s="187">
        <f t="shared" si="10"/>
        <v>0</v>
      </c>
      <c r="V26" s="187">
        <f t="shared" si="10"/>
        <v>0</v>
      </c>
      <c r="W26" s="187">
        <f t="shared" si="10"/>
        <v>0</v>
      </c>
      <c r="X26" s="187">
        <f t="shared" si="10"/>
        <v>0</v>
      </c>
      <c r="Y26" s="85">
        <f>SUM(Y27:Y28)</f>
        <v>698.8</v>
      </c>
      <c r="Z26" s="85">
        <f t="shared" ref="Z26:AA26" si="11">SUM(Z27:Z28)</f>
        <v>395</v>
      </c>
      <c r="AA26" s="85">
        <f t="shared" si="11"/>
        <v>28</v>
      </c>
      <c r="AB26" s="183">
        <f t="shared" ref="AB26:AB28" si="12">SUM(G26,M26,S26,Y26)</f>
        <v>698.8</v>
      </c>
      <c r="AC26" s="183">
        <f t="shared" si="2"/>
        <v>395</v>
      </c>
      <c r="AD26" s="183">
        <f t="shared" ref="AD26" si="13">SUM(I26,O26,U26,AA26)</f>
        <v>28</v>
      </c>
      <c r="AE26" s="86">
        <f t="shared" ref="AE26:AE32" si="14">AD26-AC26</f>
        <v>-367</v>
      </c>
      <c r="AF26" s="86">
        <f>AD26/AC26*100</f>
        <v>7.0886075949367093</v>
      </c>
      <c r="AG26" s="184"/>
      <c r="AH26" s="184"/>
      <c r="AI26" s="184"/>
      <c r="AJ26" s="185"/>
      <c r="AK26" s="185"/>
      <c r="AL26" s="184"/>
      <c r="AM26" s="184"/>
      <c r="AN26" s="184"/>
      <c r="AO26" s="184"/>
      <c r="AP26" s="184"/>
      <c r="AQ26" s="184"/>
      <c r="AR26" s="184"/>
    </row>
    <row r="27" spans="1:44" ht="67.5" customHeight="1">
      <c r="A27" s="178"/>
      <c r="B27" s="390" t="str">
        <f>'Розшифровка кап'!A95</f>
        <v>операційна система Microsoft FQC-09481 WinPro 10 SNGL OLP NL Legalization GetGenuine wCOA (61шт-І півріччя 2020р), (23шт-І півріччя 2021р.)</v>
      </c>
      <c r="C27" s="391"/>
      <c r="D27" s="391"/>
      <c r="E27" s="391"/>
      <c r="F27" s="392"/>
      <c r="G27" s="187"/>
      <c r="H27" s="187"/>
      <c r="I27" s="187"/>
      <c r="J27" s="187"/>
      <c r="K27" s="187"/>
      <c r="L27" s="187"/>
      <c r="M27" s="187"/>
      <c r="N27" s="187"/>
      <c r="O27" s="188"/>
      <c r="P27" s="187"/>
      <c r="Q27" s="187"/>
      <c r="R27" s="187"/>
      <c r="S27" s="187"/>
      <c r="T27" s="189"/>
      <c r="U27" s="189"/>
      <c r="V27" s="189"/>
      <c r="W27" s="189"/>
      <c r="X27" s="187"/>
      <c r="Y27" s="187">
        <v>281.8</v>
      </c>
      <c r="Z27" s="193">
        <v>105</v>
      </c>
      <c r="AA27" s="191"/>
      <c r="AB27" s="192">
        <f t="shared" si="12"/>
        <v>281.8</v>
      </c>
      <c r="AC27" s="192">
        <f t="shared" ref="AC27" si="15">SUM(H27,N27,T27,Z27)</f>
        <v>105</v>
      </c>
      <c r="AD27" s="192">
        <f t="shared" ref="AD27" si="16">SUM(L27,O27,X27,AA27)</f>
        <v>0</v>
      </c>
      <c r="AE27" s="193">
        <f t="shared" si="14"/>
        <v>-105</v>
      </c>
      <c r="AF27" s="14">
        <f t="shared" ref="AF27" si="17">AD27/AC27*100</f>
        <v>0</v>
      </c>
      <c r="AG27" s="194"/>
      <c r="AH27" s="194"/>
      <c r="AI27" s="194"/>
      <c r="AJ27" s="185"/>
      <c r="AK27" s="185"/>
      <c r="AL27" s="195"/>
      <c r="AM27" s="195"/>
      <c r="AN27" s="195"/>
      <c r="AO27" s="194"/>
      <c r="AP27" s="194"/>
      <c r="AQ27" s="194"/>
      <c r="AR27" s="197"/>
    </row>
    <row r="28" spans="1:44" ht="73.5" customHeight="1">
      <c r="A28" s="178"/>
      <c r="B28" s="390" t="str">
        <f>'Розшифровка кап'!A96</f>
        <v>програмне забезпечення МІС « Доктор Елекс» із супроводом (30шт-І півріччя 2020р.), (20 шт.-І півріччя 2021р.)</v>
      </c>
      <c r="C28" s="391"/>
      <c r="D28" s="391"/>
      <c r="E28" s="391"/>
      <c r="F28" s="392"/>
      <c r="G28" s="187"/>
      <c r="H28" s="187"/>
      <c r="I28" s="187"/>
      <c r="J28" s="187"/>
      <c r="K28" s="187"/>
      <c r="L28" s="187"/>
      <c r="M28" s="187"/>
      <c r="N28" s="187"/>
      <c r="O28" s="188"/>
      <c r="P28" s="187"/>
      <c r="Q28" s="187"/>
      <c r="R28" s="187"/>
      <c r="S28" s="187"/>
      <c r="T28" s="189"/>
      <c r="U28" s="189"/>
      <c r="V28" s="189"/>
      <c r="W28" s="189"/>
      <c r="X28" s="187"/>
      <c r="Y28" s="187">
        <v>417</v>
      </c>
      <c r="Z28" s="193">
        <v>290</v>
      </c>
      <c r="AA28" s="191">
        <v>28</v>
      </c>
      <c r="AB28" s="192">
        <f t="shared" si="12"/>
        <v>417</v>
      </c>
      <c r="AC28" s="192">
        <f t="shared" ref="AC28" si="18">SUM(H28,N28,T28,Z28)</f>
        <v>290</v>
      </c>
      <c r="AD28" s="192">
        <f t="shared" ref="AD28" si="19">SUM(L28,O28,X28,AA28)</f>
        <v>28</v>
      </c>
      <c r="AE28" s="193">
        <f t="shared" ref="AE28" si="20">AD28-AC28</f>
        <v>-262</v>
      </c>
      <c r="AF28" s="14">
        <f t="shared" ref="AF28" si="21">AD28/AC28*100</f>
        <v>9.6551724137931032</v>
      </c>
      <c r="AG28" s="194"/>
      <c r="AH28" s="194"/>
      <c r="AI28" s="194"/>
      <c r="AJ28" s="185"/>
      <c r="AK28" s="185"/>
      <c r="AL28" s="195"/>
      <c r="AM28" s="195"/>
      <c r="AN28" s="195"/>
      <c r="AO28" s="194"/>
      <c r="AP28" s="194"/>
      <c r="AQ28" s="194"/>
      <c r="AR28" s="184"/>
    </row>
    <row r="29" spans="1:44" ht="42" customHeight="1">
      <c r="A29" s="198">
        <v>4</v>
      </c>
      <c r="B29" s="385" t="s">
        <v>486</v>
      </c>
      <c r="C29" s="386"/>
      <c r="D29" s="386"/>
      <c r="E29" s="386"/>
      <c r="F29" s="387"/>
      <c r="G29" s="187"/>
      <c r="H29" s="187"/>
      <c r="I29" s="187"/>
      <c r="J29" s="187"/>
      <c r="K29" s="187"/>
      <c r="L29" s="187"/>
      <c r="M29" s="187"/>
      <c r="N29" s="187"/>
      <c r="O29" s="188"/>
      <c r="P29" s="187"/>
      <c r="Q29" s="187"/>
      <c r="R29" s="187"/>
      <c r="S29" s="187"/>
      <c r="T29" s="189"/>
      <c r="U29" s="189"/>
      <c r="V29" s="189"/>
      <c r="W29" s="189"/>
      <c r="X29" s="187"/>
      <c r="Y29" s="187"/>
      <c r="Z29" s="86">
        <f>Z30+Z31</f>
        <v>2700</v>
      </c>
      <c r="AA29" s="191"/>
      <c r="AB29" s="192"/>
      <c r="AC29" s="86">
        <f>AC30+AC31</f>
        <v>2700</v>
      </c>
      <c r="AD29" s="192"/>
      <c r="AE29" s="193"/>
      <c r="AF29" s="14"/>
      <c r="AG29" s="194"/>
      <c r="AH29" s="194"/>
      <c r="AI29" s="194"/>
      <c r="AJ29" s="185"/>
      <c r="AK29" s="185"/>
      <c r="AL29" s="195"/>
      <c r="AM29" s="195"/>
      <c r="AN29" s="195"/>
      <c r="AO29" s="194"/>
      <c r="AP29" s="194"/>
      <c r="AQ29" s="194"/>
      <c r="AR29" s="184"/>
    </row>
    <row r="30" spans="1:44" ht="43.5" customHeight="1">
      <c r="A30" s="198"/>
      <c r="B30" s="382" t="s">
        <v>497</v>
      </c>
      <c r="C30" s="383"/>
      <c r="D30" s="383"/>
      <c r="E30" s="383"/>
      <c r="F30" s="384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85"/>
      <c r="Z30" s="124">
        <v>1400</v>
      </c>
      <c r="AA30" s="187"/>
      <c r="AB30" s="183"/>
      <c r="AC30" s="124">
        <v>1400</v>
      </c>
      <c r="AD30" s="183"/>
      <c r="AE30" s="193"/>
      <c r="AF30" s="193"/>
      <c r="AG30" s="194"/>
      <c r="AH30" s="194"/>
      <c r="AI30" s="194"/>
      <c r="AJ30" s="185"/>
      <c r="AK30" s="185"/>
      <c r="AL30" s="195"/>
      <c r="AM30" s="195"/>
      <c r="AN30" s="195"/>
      <c r="AO30" s="194"/>
      <c r="AP30" s="194"/>
      <c r="AQ30" s="194"/>
      <c r="AR30" s="184"/>
    </row>
    <row r="31" spans="1:44" ht="43.5" customHeight="1">
      <c r="A31" s="178"/>
      <c r="B31" s="390" t="s">
        <v>498</v>
      </c>
      <c r="C31" s="391"/>
      <c r="D31" s="391"/>
      <c r="E31" s="391"/>
      <c r="F31" s="392"/>
      <c r="G31" s="187"/>
      <c r="H31" s="187"/>
      <c r="I31" s="187"/>
      <c r="J31" s="187"/>
      <c r="K31" s="187"/>
      <c r="L31" s="187"/>
      <c r="M31" s="187"/>
      <c r="N31" s="187"/>
      <c r="O31" s="188"/>
      <c r="P31" s="187"/>
      <c r="Q31" s="187"/>
      <c r="R31" s="187"/>
      <c r="S31" s="187"/>
      <c r="T31" s="189"/>
      <c r="U31" s="189"/>
      <c r="V31" s="189"/>
      <c r="W31" s="189"/>
      <c r="X31" s="187"/>
      <c r="Y31" s="187"/>
      <c r="Z31" s="124">
        <v>1300</v>
      </c>
      <c r="AA31" s="191"/>
      <c r="AB31" s="192"/>
      <c r="AC31" s="124">
        <v>1300</v>
      </c>
      <c r="AD31" s="193"/>
      <c r="AE31" s="193"/>
      <c r="AF31" s="193"/>
      <c r="AG31" s="194"/>
      <c r="AH31" s="194"/>
      <c r="AI31" s="194"/>
      <c r="AJ31" s="185"/>
      <c r="AK31" s="185"/>
      <c r="AL31" s="195"/>
      <c r="AM31" s="195"/>
      <c r="AN31" s="195"/>
      <c r="AO31" s="194"/>
      <c r="AP31" s="194"/>
      <c r="AQ31" s="194"/>
      <c r="AR31" s="184"/>
    </row>
    <row r="32" spans="1:44" ht="40.5" customHeight="1">
      <c r="A32" s="393" t="s">
        <v>11</v>
      </c>
      <c r="B32" s="394"/>
      <c r="C32" s="394"/>
      <c r="D32" s="394"/>
      <c r="E32" s="394"/>
      <c r="F32" s="395"/>
      <c r="G32" s="199">
        <f t="shared" ref="G32:X32" si="22">SUM(G8,G25,G26)</f>
        <v>0</v>
      </c>
      <c r="H32" s="86">
        <f t="shared" si="22"/>
        <v>0</v>
      </c>
      <c r="I32" s="86">
        <f t="shared" si="22"/>
        <v>0</v>
      </c>
      <c r="J32" s="86">
        <f t="shared" si="22"/>
        <v>0</v>
      </c>
      <c r="K32" s="86">
        <f t="shared" si="22"/>
        <v>0</v>
      </c>
      <c r="L32" s="86">
        <f t="shared" si="22"/>
        <v>0</v>
      </c>
      <c r="M32" s="86">
        <f t="shared" si="22"/>
        <v>0</v>
      </c>
      <c r="N32" s="86">
        <f t="shared" si="22"/>
        <v>0</v>
      </c>
      <c r="O32" s="86">
        <f t="shared" si="22"/>
        <v>0</v>
      </c>
      <c r="P32" s="86">
        <f t="shared" si="22"/>
        <v>0</v>
      </c>
      <c r="Q32" s="86">
        <f t="shared" si="22"/>
        <v>0</v>
      </c>
      <c r="R32" s="86">
        <f t="shared" si="22"/>
        <v>0</v>
      </c>
      <c r="S32" s="86">
        <f t="shared" si="22"/>
        <v>31.8</v>
      </c>
      <c r="T32" s="86">
        <f t="shared" si="22"/>
        <v>54.5</v>
      </c>
      <c r="U32" s="86">
        <f t="shared" si="22"/>
        <v>0</v>
      </c>
      <c r="V32" s="86">
        <f t="shared" si="22"/>
        <v>0</v>
      </c>
      <c r="W32" s="86">
        <f t="shared" si="22"/>
        <v>0</v>
      </c>
      <c r="X32" s="86">
        <f t="shared" si="22"/>
        <v>23.1</v>
      </c>
      <c r="Y32" s="86">
        <f>SUM(Y8,Y25,Y26)+Y30</f>
        <v>3048.9000000000005</v>
      </c>
      <c r="Z32" s="86">
        <f>SUM(Z8,Z25,Z26)+Z29</f>
        <v>5361.3</v>
      </c>
      <c r="AA32" s="86">
        <f>SUM(AA8,AA25,AA26)</f>
        <v>329.6</v>
      </c>
      <c r="AB32" s="183">
        <f>SUM(G32,M32,S32,Y32)</f>
        <v>3080.7000000000007</v>
      </c>
      <c r="AC32" s="86">
        <f>SUM(H32,N32,T32,Z32)</f>
        <v>5415.8</v>
      </c>
      <c r="AD32" s="86">
        <f>SUM(L32,O32,X32,AA32)</f>
        <v>352.70000000000005</v>
      </c>
      <c r="AE32" s="86">
        <f t="shared" si="14"/>
        <v>-5063.1000000000004</v>
      </c>
      <c r="AF32" s="86">
        <f>AD32/AC32*100</f>
        <v>6.5124266036411989</v>
      </c>
      <c r="AG32" s="184"/>
      <c r="AH32" s="184"/>
      <c r="AI32" s="184"/>
      <c r="AJ32" s="185"/>
      <c r="AK32" s="185"/>
      <c r="AL32" s="184"/>
      <c r="AM32" s="184"/>
      <c r="AN32" s="184"/>
      <c r="AO32" s="184"/>
      <c r="AP32" s="184"/>
      <c r="AQ32" s="184"/>
      <c r="AR32" s="184"/>
    </row>
    <row r="33" spans="1:44" ht="20.100000000000001" customHeight="1">
      <c r="A33" s="182"/>
      <c r="B33" s="182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182"/>
      <c r="Q33" s="182"/>
      <c r="R33" s="182"/>
      <c r="S33" s="182"/>
      <c r="T33" s="200"/>
      <c r="U33" s="182"/>
      <c r="V33" s="182"/>
      <c r="W33" s="182"/>
      <c r="X33" s="182"/>
      <c r="Y33" s="168"/>
      <c r="AJ33" s="185"/>
      <c r="AK33" s="185"/>
      <c r="AL33" s="185"/>
      <c r="AM33" s="185"/>
      <c r="AN33" s="185"/>
      <c r="AO33" s="185"/>
      <c r="AP33" s="185"/>
      <c r="AQ33" s="185"/>
      <c r="AR33" s="185"/>
    </row>
    <row r="34" spans="1:44" ht="20.100000000000001" customHeight="1">
      <c r="A34" s="201"/>
      <c r="B34" s="201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168"/>
      <c r="T34" s="168"/>
      <c r="U34" s="168"/>
      <c r="V34" s="168"/>
      <c r="W34" s="168"/>
      <c r="X34" s="168"/>
      <c r="Y34" s="168"/>
      <c r="Z34" s="168"/>
      <c r="AA34" s="168"/>
    </row>
    <row r="35" spans="1:44" ht="20.100000000000001" customHeight="1">
      <c r="A35" s="201"/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168"/>
      <c r="T35" s="168"/>
      <c r="U35" s="168"/>
      <c r="V35" s="168"/>
      <c r="W35" s="168"/>
      <c r="X35" s="168"/>
      <c r="Y35" s="168"/>
      <c r="Z35" s="168"/>
      <c r="AA35" s="168"/>
    </row>
    <row r="36" spans="1:44" s="204" customFormat="1" ht="20.100000000000001" customHeight="1">
      <c r="A36" s="203"/>
      <c r="B36" s="203"/>
      <c r="C36" s="170"/>
      <c r="D36" s="170"/>
      <c r="E36" s="170"/>
      <c r="F36" s="170"/>
      <c r="G36" s="170"/>
      <c r="H36" s="170"/>
      <c r="I36" s="170"/>
      <c r="J36" s="170"/>
      <c r="K36" s="170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</row>
    <row r="37" spans="1:44" s="208" customFormat="1" ht="36" customHeight="1">
      <c r="A37" s="205"/>
      <c r="B37" s="425" t="s">
        <v>396</v>
      </c>
      <c r="C37" s="426"/>
      <c r="D37" s="426"/>
      <c r="E37" s="426"/>
      <c r="F37" s="426"/>
      <c r="G37" s="206"/>
      <c r="H37" s="206"/>
      <c r="I37" s="206"/>
      <c r="J37" s="206"/>
      <c r="K37" s="206"/>
      <c r="L37" s="396"/>
      <c r="M37" s="396"/>
      <c r="N37" s="207"/>
      <c r="O37" s="207"/>
      <c r="P37" s="207"/>
      <c r="Q37" s="207"/>
      <c r="R37" s="207"/>
      <c r="S37" s="423"/>
      <c r="T37" s="423"/>
      <c r="X37" s="205"/>
      <c r="Y37" s="205"/>
      <c r="Z37" s="397" t="s">
        <v>397</v>
      </c>
      <c r="AA37" s="397"/>
      <c r="AB37" s="397"/>
      <c r="AC37" s="397"/>
      <c r="AD37" s="397"/>
    </row>
    <row r="38" spans="1:44" s="204" customFormat="1" ht="27" customHeight="1">
      <c r="A38" s="203"/>
      <c r="B38" s="209"/>
      <c r="C38" s="203" t="s">
        <v>12</v>
      </c>
      <c r="D38" s="203"/>
      <c r="E38" s="210"/>
      <c r="F38" s="210"/>
      <c r="G38" s="210"/>
      <c r="H38" s="210"/>
      <c r="I38" s="210"/>
      <c r="J38" s="210"/>
      <c r="K38" s="210"/>
      <c r="L38" s="166"/>
      <c r="M38" s="210"/>
      <c r="N38" s="210"/>
      <c r="O38" s="210"/>
      <c r="P38" s="210"/>
      <c r="Q38" s="203"/>
      <c r="R38" s="203"/>
      <c r="S38" s="424" t="s">
        <v>13</v>
      </c>
      <c r="T38" s="424"/>
      <c r="X38" s="203"/>
      <c r="Y38" s="203"/>
      <c r="Z38" s="398" t="s">
        <v>19</v>
      </c>
      <c r="AA38" s="398"/>
      <c r="AB38" s="398"/>
      <c r="AC38" s="398"/>
      <c r="AD38" s="398"/>
    </row>
    <row r="39" spans="1:44" ht="20.100000000000001" customHeight="1">
      <c r="A39" s="168"/>
      <c r="B39" s="211"/>
      <c r="C39" s="211"/>
      <c r="D39" s="211"/>
      <c r="E39" s="211"/>
      <c r="F39" s="211"/>
      <c r="G39" s="211"/>
      <c r="H39" s="212"/>
      <c r="I39" s="212"/>
      <c r="J39" s="212"/>
      <c r="K39" s="212"/>
      <c r="L39" s="212"/>
      <c r="M39" s="212"/>
      <c r="N39" s="212"/>
      <c r="O39" s="212"/>
      <c r="P39" s="212"/>
      <c r="Q39" s="211"/>
      <c r="R39" s="211"/>
      <c r="S39" s="168"/>
      <c r="T39" s="168"/>
      <c r="U39" s="168"/>
      <c r="V39" s="168"/>
      <c r="W39" s="168"/>
      <c r="X39" s="168"/>
      <c r="Y39" s="168"/>
      <c r="Z39" s="168"/>
      <c r="AA39" s="168"/>
    </row>
    <row r="40" spans="1:44" ht="20.100000000000001" customHeight="1">
      <c r="A40" s="168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168"/>
      <c r="T40" s="168"/>
      <c r="U40" s="168"/>
      <c r="V40" s="168"/>
      <c r="W40" s="168"/>
      <c r="X40" s="168"/>
      <c r="Y40" s="168"/>
      <c r="Z40" s="168"/>
      <c r="AA40" s="168"/>
    </row>
    <row r="41" spans="1:44">
      <c r="A41" s="168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168"/>
      <c r="T41" s="168"/>
      <c r="U41" s="168"/>
      <c r="V41" s="168"/>
      <c r="W41" s="168"/>
      <c r="X41" s="168"/>
      <c r="Y41" s="168"/>
      <c r="Z41" s="168"/>
      <c r="AA41" s="168"/>
    </row>
    <row r="42" spans="1:44" s="389" customFormat="1" ht="19.149999999999999" customHeight="1">
      <c r="A42" s="388" t="s">
        <v>82</v>
      </c>
    </row>
    <row r="45" spans="1:44">
      <c r="B45" s="213"/>
    </row>
    <row r="46" spans="1:44">
      <c r="B46" s="213"/>
    </row>
    <row r="47" spans="1:44">
      <c r="B47" s="213"/>
    </row>
    <row r="48" spans="1:44">
      <c r="B48" s="213"/>
    </row>
    <row r="49" spans="2:2">
      <c r="B49" s="213"/>
    </row>
    <row r="50" spans="2:2">
      <c r="B50" s="213"/>
    </row>
    <row r="51" spans="2:2">
      <c r="B51" s="213"/>
    </row>
  </sheetData>
  <mergeCells count="65">
    <mergeCell ref="F2:U2"/>
    <mergeCell ref="A4:A6"/>
    <mergeCell ref="B4:F6"/>
    <mergeCell ref="G4:L4"/>
    <mergeCell ref="M4:O4"/>
    <mergeCell ref="S4:X4"/>
    <mergeCell ref="T5:T6"/>
    <mergeCell ref="U5:X6"/>
    <mergeCell ref="AB4:AF4"/>
    <mergeCell ref="AJ4:AN4"/>
    <mergeCell ref="G5:G6"/>
    <mergeCell ref="H5:K6"/>
    <mergeCell ref="L5:L6"/>
    <mergeCell ref="M5:M6"/>
    <mergeCell ref="N5:N6"/>
    <mergeCell ref="O5:R6"/>
    <mergeCell ref="S5:S6"/>
    <mergeCell ref="Y4:AA4"/>
    <mergeCell ref="B10:F10"/>
    <mergeCell ref="AE5:AE6"/>
    <mergeCell ref="AF5:AF6"/>
    <mergeCell ref="AJ5:AJ6"/>
    <mergeCell ref="AK5:AN6"/>
    <mergeCell ref="Y5:Y6"/>
    <mergeCell ref="Z5:Z6"/>
    <mergeCell ref="AA5:AA6"/>
    <mergeCell ref="AB5:AB6"/>
    <mergeCell ref="AC5:AC6"/>
    <mergeCell ref="AD5:AD6"/>
    <mergeCell ref="AQ5:AQ6"/>
    <mergeCell ref="AR5:AR6"/>
    <mergeCell ref="B7:F7"/>
    <mergeCell ref="B8:F8"/>
    <mergeCell ref="B9:F9"/>
    <mergeCell ref="AO5:AO6"/>
    <mergeCell ref="AP5:AP6"/>
    <mergeCell ref="B11:F11"/>
    <mergeCell ref="B12:F12"/>
    <mergeCell ref="B13:F13"/>
    <mergeCell ref="B14:F14"/>
    <mergeCell ref="B15:F15"/>
    <mergeCell ref="B16:F16"/>
    <mergeCell ref="B17:F17"/>
    <mergeCell ref="B26:F26"/>
    <mergeCell ref="B27:F27"/>
    <mergeCell ref="B28:F28"/>
    <mergeCell ref="B19:F19"/>
    <mergeCell ref="B22:F22"/>
    <mergeCell ref="B20:F20"/>
    <mergeCell ref="B21:F21"/>
    <mergeCell ref="B24:F24"/>
    <mergeCell ref="B23:F23"/>
    <mergeCell ref="B18:F18"/>
    <mergeCell ref="B30:F30"/>
    <mergeCell ref="B25:F25"/>
    <mergeCell ref="A42:XFD42"/>
    <mergeCell ref="B31:F31"/>
    <mergeCell ref="A32:F32"/>
    <mergeCell ref="B37:F37"/>
    <mergeCell ref="L37:M37"/>
    <mergeCell ref="Z37:AD37"/>
    <mergeCell ref="Z38:AD38"/>
    <mergeCell ref="B29:F29"/>
    <mergeCell ref="S37:T37"/>
    <mergeCell ref="S38:T38"/>
  </mergeCells>
  <pageMargins left="0.23622047244094491" right="0.15748031496062992" top="0.19685039370078741" bottom="0.19685039370078741" header="0.47244094488188981" footer="0.31496062992125984"/>
  <pageSetup paperSize="9" scale="40" orientation="landscape" verticalDpi="1200" r:id="rId1"/>
  <headerFooter alignWithMargins="0"/>
  <rowBreaks count="1" manualBreakCount="1">
    <brk id="3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 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Лопатинська Ліна Миколаївна</cp:lastModifiedBy>
  <cp:lastPrinted>2021-12-08T08:30:35Z</cp:lastPrinted>
  <dcterms:created xsi:type="dcterms:W3CDTF">2003-03-13T16:00:22Z</dcterms:created>
  <dcterms:modified xsi:type="dcterms:W3CDTF">2021-12-08T08:30:42Z</dcterms:modified>
</cp:coreProperties>
</file>